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0.60\Public\業務\14_総会議案書関係\42回総会議案書\"/>
    </mc:Choice>
  </mc:AlternateContent>
  <xr:revisionPtr revIDLastSave="0" documentId="13_ncr:1_{02661E48-EB87-4309-B594-719F9CAF7208}" xr6:coauthVersionLast="47" xr6:coauthVersionMax="47" xr10:uidLastSave="{00000000-0000-0000-0000-000000000000}"/>
  <bookViews>
    <workbookView xWindow="-120" yWindow="-120" windowWidth="29040" windowHeight="15720" firstSheet="8" activeTab="12" xr2:uid="{00000000-000D-0000-FFFF-FFFF00000000}"/>
  </bookViews>
  <sheets>
    <sheet name="①詳細版（公1）" sheetId="31" r:id="rId1"/>
    <sheet name="②詳細版（公2）(公3）" sheetId="32" r:id="rId2"/>
    <sheet name="③共益事業（集計表）" sheetId="33" r:id="rId3"/>
    <sheet name="④法人会計（集計表）" sheetId="34" r:id="rId4"/>
    <sheet name="⑤R06事業管理費" sheetId="25" r:id="rId5"/>
    <sheet name="⑥R06事業管理費(公益)" sheetId="23" r:id="rId6"/>
    <sheet name="⑦R06事業管理費(公益) (2)" sheetId="30" r:id="rId7"/>
    <sheet name="⑧R06会費と助成金 " sheetId="28" r:id="rId8"/>
    <sheet name="⑪R07正味 (詳細)" sheetId="27" r:id="rId9"/>
    <sheet name="⑩R06正味 (詳細) " sheetId="29" r:id="rId10"/>
    <sheet name="⑨R06正味公収法予算書" sheetId="26" r:id="rId11"/>
    <sheet name="R05正味公収法予算書 (2)" sheetId="35" r:id="rId12"/>
    <sheet name="R07正味公収法予算書)" sheetId="36" r:id="rId13"/>
  </sheets>
  <definedNames>
    <definedName name="_xlnm.Print_Area" localSheetId="4">⑤R06事業管理費!$A$1:$G$33</definedName>
    <definedName name="_xlnm.Print_Area" localSheetId="5">'⑥R06事業管理費(公益)'!$A$1:$G$30</definedName>
    <definedName name="_xlnm.Print_Area" localSheetId="6">'⑦R06事業管理費(公益) (2)'!$A$1:$H$29</definedName>
    <definedName name="_xlnm.Print_Area" localSheetId="7">'⑧R06会費と助成金 '!$A$1:$J$10</definedName>
    <definedName name="_xlnm.Print_Area" localSheetId="10">⑨R06正味公収法予算書!$A$1:$P$150</definedName>
    <definedName name="_xlnm.Print_Area" localSheetId="9">'⑩R06正味 (詳細) '!$A$1:$R$150</definedName>
    <definedName name="_xlnm.Print_Area" localSheetId="8">'⑪R07正味 (詳細)'!$A$1:$U$150</definedName>
    <definedName name="_xlnm.Print_Area" localSheetId="11">'R05正味公収法予算書 (2)'!$A$1:$P$149</definedName>
    <definedName name="_xlnm.Print_Area" localSheetId="12">'R07正味公収法予算書)'!$A$1:$P$150</definedName>
    <definedName name="_xlnm.Print_Titles" localSheetId="10">⑨R06正味公収法予算書!$3:$5</definedName>
    <definedName name="_xlnm.Print_Titles" localSheetId="9">'⑩R06正味 (詳細) '!$4:$6</definedName>
    <definedName name="_xlnm.Print_Titles" localSheetId="8">'⑪R07正味 (詳細)'!$4:$6</definedName>
    <definedName name="_xlnm.Print_Titles" localSheetId="11">'R05正味公収法予算書 (2)'!$3:$5</definedName>
    <definedName name="_xlnm.Print_Titles" localSheetId="12">'R07正味公収法予算書)'!$3:$5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36" l="1"/>
  <c r="K77" i="36"/>
  <c r="R77" i="36"/>
  <c r="R76" i="36" s="1"/>
  <c r="K20" i="36"/>
  <c r="K15" i="36" s="1"/>
  <c r="K35" i="36" s="1"/>
  <c r="K14" i="26"/>
  <c r="M141" i="36"/>
  <c r="G150" i="36"/>
  <c r="P141" i="36"/>
  <c r="P35" i="36"/>
  <c r="P142" i="36"/>
  <c r="M35" i="36"/>
  <c r="M142" i="36"/>
  <c r="N141" i="36"/>
  <c r="O141" i="36"/>
  <c r="S141" i="36" s="1"/>
  <c r="K140" i="36"/>
  <c r="K135" i="36"/>
  <c r="R134" i="36"/>
  <c r="K134" i="36"/>
  <c r="R133" i="36"/>
  <c r="R132" i="36"/>
  <c r="R131" i="36"/>
  <c r="R130" i="36"/>
  <c r="K130" i="36"/>
  <c r="R129" i="36"/>
  <c r="R128" i="36"/>
  <c r="K128" i="36"/>
  <c r="R127" i="36"/>
  <c r="K127" i="36"/>
  <c r="R126" i="36"/>
  <c r="K126" i="36"/>
  <c r="R125" i="36"/>
  <c r="K125" i="36"/>
  <c r="R124" i="36"/>
  <c r="K124" i="36"/>
  <c r="R123" i="36"/>
  <c r="K123" i="36"/>
  <c r="R122" i="36"/>
  <c r="R121" i="36"/>
  <c r="K121" i="36"/>
  <c r="R120" i="36"/>
  <c r="R119" i="36"/>
  <c r="R118" i="36"/>
  <c r="R117" i="36"/>
  <c r="R116" i="36"/>
  <c r="R115" i="36"/>
  <c r="R114" i="36"/>
  <c r="K114" i="36"/>
  <c r="K112" i="36"/>
  <c r="R113" i="36"/>
  <c r="S139" i="36"/>
  <c r="R88" i="36"/>
  <c r="S110" i="36"/>
  <c r="T139" i="36"/>
  <c r="R112" i="36"/>
  <c r="H112" i="36"/>
  <c r="R111" i="36"/>
  <c r="K111" i="36"/>
  <c r="R110" i="36"/>
  <c r="R109" i="36"/>
  <c r="K109" i="36"/>
  <c r="R108" i="36"/>
  <c r="K108" i="36"/>
  <c r="R107" i="36"/>
  <c r="R106" i="36"/>
  <c r="K106" i="36"/>
  <c r="R105" i="36"/>
  <c r="R104" i="36"/>
  <c r="K104" i="36"/>
  <c r="R103" i="36"/>
  <c r="R102" i="36"/>
  <c r="K102" i="36"/>
  <c r="R101" i="36"/>
  <c r="K101" i="36"/>
  <c r="R100" i="36"/>
  <c r="K100" i="36"/>
  <c r="R99" i="36"/>
  <c r="K99" i="36"/>
  <c r="R98" i="36"/>
  <c r="K98" i="36"/>
  <c r="K87" i="36"/>
  <c r="R97" i="36"/>
  <c r="K97" i="36"/>
  <c r="R96" i="36"/>
  <c r="R95" i="36"/>
  <c r="R94" i="36"/>
  <c r="R93" i="36"/>
  <c r="R92" i="36"/>
  <c r="R91" i="36"/>
  <c r="R90" i="36"/>
  <c r="R89" i="36"/>
  <c r="K89" i="36"/>
  <c r="R87" i="36"/>
  <c r="H87" i="36"/>
  <c r="R86" i="36"/>
  <c r="R85" i="36"/>
  <c r="R84" i="36"/>
  <c r="R83" i="36"/>
  <c r="R82" i="36"/>
  <c r="R81" i="36"/>
  <c r="R80" i="36"/>
  <c r="R79" i="36"/>
  <c r="R78" i="36"/>
  <c r="K76" i="36"/>
  <c r="K37" i="36" s="1"/>
  <c r="K141" i="36" s="1"/>
  <c r="H76" i="36"/>
  <c r="R75" i="36"/>
  <c r="K75" i="36"/>
  <c r="R74" i="36"/>
  <c r="K74" i="36"/>
  <c r="H74" i="36"/>
  <c r="R73" i="36"/>
  <c r="R72" i="36"/>
  <c r="R71" i="36"/>
  <c r="R70" i="36"/>
  <c r="R69" i="36"/>
  <c r="R68" i="36"/>
  <c r="R67" i="36"/>
  <c r="R66" i="36"/>
  <c r="R65" i="36"/>
  <c r="R64" i="36"/>
  <c r="R63" i="36"/>
  <c r="R62" i="36"/>
  <c r="R61" i="36"/>
  <c r="S73" i="36"/>
  <c r="K60" i="36"/>
  <c r="R59" i="36"/>
  <c r="R58" i="36"/>
  <c r="R57" i="36"/>
  <c r="R56" i="36"/>
  <c r="R55" i="36"/>
  <c r="K55" i="36"/>
  <c r="R54" i="36"/>
  <c r="K54" i="36"/>
  <c r="R53" i="36"/>
  <c r="R52" i="36"/>
  <c r="S59" i="36"/>
  <c r="K52" i="36"/>
  <c r="K51" i="36"/>
  <c r="R50" i="36"/>
  <c r="R49" i="36"/>
  <c r="R48" i="36"/>
  <c r="R47" i="36"/>
  <c r="R46" i="36"/>
  <c r="K46" i="36"/>
  <c r="R45" i="36"/>
  <c r="R44" i="36"/>
  <c r="R43" i="36"/>
  <c r="R42" i="36"/>
  <c r="R41" i="36"/>
  <c r="R40" i="36"/>
  <c r="R39" i="36"/>
  <c r="R38" i="36"/>
  <c r="K39" i="36"/>
  <c r="K38" i="36"/>
  <c r="H38" i="36"/>
  <c r="O35" i="36"/>
  <c r="N35" i="36"/>
  <c r="N142" i="36"/>
  <c r="R35" i="36"/>
  <c r="R34" i="36"/>
  <c r="R33" i="36"/>
  <c r="K33" i="36"/>
  <c r="R32" i="36"/>
  <c r="K32" i="36"/>
  <c r="R31" i="36"/>
  <c r="K31" i="36"/>
  <c r="K30" i="36"/>
  <c r="R30" i="36"/>
  <c r="R29" i="36"/>
  <c r="R28" i="36"/>
  <c r="R27" i="36"/>
  <c r="K27" i="36"/>
  <c r="R25" i="36"/>
  <c r="K25" i="36"/>
  <c r="R24" i="36"/>
  <c r="K21" i="36"/>
  <c r="R23" i="36"/>
  <c r="R22" i="36"/>
  <c r="R21" i="36"/>
  <c r="R20" i="36"/>
  <c r="R19" i="36"/>
  <c r="R18" i="36"/>
  <c r="R17" i="36"/>
  <c r="R16" i="36"/>
  <c r="R15" i="36"/>
  <c r="R14" i="36"/>
  <c r="K13" i="36"/>
  <c r="K12" i="36"/>
  <c r="K11" i="36"/>
  <c r="K10" i="36"/>
  <c r="K9" i="36"/>
  <c r="H35" i="36"/>
  <c r="R4" i="28"/>
  <c r="N4" i="28"/>
  <c r="O4" i="28"/>
  <c r="P4" i="28"/>
  <c r="Q4" i="28"/>
  <c r="M4" i="28"/>
  <c r="S3" i="28"/>
  <c r="R3" i="28"/>
  <c r="B2" i="28"/>
  <c r="H37" i="36"/>
  <c r="H141" i="36"/>
  <c r="H142" i="36"/>
  <c r="H144" i="36"/>
  <c r="S50" i="36"/>
  <c r="R60" i="36"/>
  <c r="R51" i="36"/>
  <c r="R142" i="26"/>
  <c r="W50" i="29"/>
  <c r="X59" i="27"/>
  <c r="X73" i="27"/>
  <c r="X86" i="27"/>
  <c r="X140" i="27"/>
  <c r="S110" i="29"/>
  <c r="T139" i="26"/>
  <c r="S59" i="26"/>
  <c r="S73" i="26"/>
  <c r="S86" i="26"/>
  <c r="S110" i="26"/>
  <c r="S139" i="26"/>
  <c r="G35" i="25"/>
  <c r="R76" i="26"/>
  <c r="R60" i="26"/>
  <c r="R51" i="26"/>
  <c r="H27" i="30"/>
  <c r="G27" i="30"/>
  <c r="E27" i="30"/>
  <c r="D27" i="30"/>
  <c r="C27" i="30"/>
  <c r="H24" i="30"/>
  <c r="G24" i="30"/>
  <c r="E24" i="30"/>
  <c r="D24" i="30"/>
  <c r="C24" i="30"/>
  <c r="F24" i="30"/>
  <c r="I24" i="30"/>
  <c r="H22" i="30"/>
  <c r="G22" i="30"/>
  <c r="E22" i="30"/>
  <c r="D22" i="30"/>
  <c r="C22" i="30"/>
  <c r="F22" i="30"/>
  <c r="H20" i="30"/>
  <c r="G20" i="30"/>
  <c r="E20" i="30"/>
  <c r="D20" i="30"/>
  <c r="C20" i="30"/>
  <c r="F20" i="30"/>
  <c r="H13" i="30"/>
  <c r="G13" i="30"/>
  <c r="E13" i="30"/>
  <c r="D13" i="30"/>
  <c r="F13" i="30"/>
  <c r="C13" i="30"/>
  <c r="H12" i="30"/>
  <c r="G12" i="30"/>
  <c r="E12" i="30"/>
  <c r="F12" i="30"/>
  <c r="I12" i="30"/>
  <c r="D12" i="30"/>
  <c r="C12" i="30"/>
  <c r="H11" i="30"/>
  <c r="G11" i="30"/>
  <c r="E11" i="30"/>
  <c r="D11" i="30"/>
  <c r="F11" i="30"/>
  <c r="C11" i="30"/>
  <c r="H10" i="30"/>
  <c r="G10" i="30"/>
  <c r="E10" i="30"/>
  <c r="D10" i="30"/>
  <c r="C10" i="30"/>
  <c r="F10" i="30"/>
  <c r="I10" i="30"/>
  <c r="H9" i="30"/>
  <c r="G9" i="30"/>
  <c r="E9" i="30"/>
  <c r="D9" i="30"/>
  <c r="C9" i="30"/>
  <c r="H8" i="30"/>
  <c r="G8" i="30"/>
  <c r="E8" i="30"/>
  <c r="D8" i="30"/>
  <c r="C8" i="30"/>
  <c r="F8" i="30"/>
  <c r="H7" i="30"/>
  <c r="G7" i="30"/>
  <c r="E7" i="30"/>
  <c r="D7" i="30"/>
  <c r="C7" i="30"/>
  <c r="F10" i="25"/>
  <c r="G10" i="25"/>
  <c r="R20" i="34"/>
  <c r="Q20" i="34"/>
  <c r="H51" i="26"/>
  <c r="H21" i="26"/>
  <c r="R67" i="26"/>
  <c r="K33" i="26"/>
  <c r="K25" i="26"/>
  <c r="K24" i="26"/>
  <c r="U143" i="29"/>
  <c r="U140" i="29"/>
  <c r="U139" i="29"/>
  <c r="U138" i="29"/>
  <c r="U137" i="29"/>
  <c r="U136" i="29"/>
  <c r="U135" i="29"/>
  <c r="U134" i="29"/>
  <c r="U133" i="29"/>
  <c r="U132" i="29"/>
  <c r="U131" i="29"/>
  <c r="U130" i="29"/>
  <c r="U129" i="29"/>
  <c r="U128" i="29"/>
  <c r="U127" i="29"/>
  <c r="U126" i="29"/>
  <c r="U125" i="29"/>
  <c r="U124" i="29"/>
  <c r="U123" i="29"/>
  <c r="U122" i="29"/>
  <c r="U121" i="29"/>
  <c r="U120" i="29"/>
  <c r="U119" i="29"/>
  <c r="U118" i="29"/>
  <c r="U117" i="29"/>
  <c r="U116" i="29"/>
  <c r="U115" i="29"/>
  <c r="U114" i="29"/>
  <c r="U113" i="29"/>
  <c r="U112" i="29"/>
  <c r="U111" i="29"/>
  <c r="U109" i="29"/>
  <c r="U106" i="29"/>
  <c r="U104" i="29"/>
  <c r="U102" i="29"/>
  <c r="U101" i="29"/>
  <c r="U100" i="29"/>
  <c r="U99" i="29"/>
  <c r="U98" i="29"/>
  <c r="U97" i="29"/>
  <c r="U95" i="29"/>
  <c r="U88" i="29"/>
  <c r="U89" i="29"/>
  <c r="U87" i="29"/>
  <c r="U86" i="29"/>
  <c r="U85" i="29"/>
  <c r="U84" i="29"/>
  <c r="U83" i="29"/>
  <c r="U82" i="29"/>
  <c r="U81" i="29"/>
  <c r="U80" i="29"/>
  <c r="U79" i="29"/>
  <c r="U78" i="29"/>
  <c r="W86" i="29"/>
  <c r="U77" i="29"/>
  <c r="U76" i="29"/>
  <c r="U75" i="29"/>
  <c r="U74" i="29"/>
  <c r="U60" i="29"/>
  <c r="U54" i="29"/>
  <c r="U52" i="29"/>
  <c r="U51" i="29"/>
  <c r="U46" i="29"/>
  <c r="U39" i="29"/>
  <c r="U38" i="29"/>
  <c r="U37" i="29"/>
  <c r="U36" i="29"/>
  <c r="U34" i="29"/>
  <c r="U33" i="29"/>
  <c r="U32" i="29"/>
  <c r="U31" i="29"/>
  <c r="U30" i="29"/>
  <c r="U29" i="29"/>
  <c r="U28" i="29"/>
  <c r="U27" i="29"/>
  <c r="U26" i="29"/>
  <c r="U25" i="29"/>
  <c r="U24" i="29"/>
  <c r="U22" i="29"/>
  <c r="U21" i="29"/>
  <c r="U15" i="29"/>
  <c r="X88" i="27"/>
  <c r="K15" i="27"/>
  <c r="X35" i="27"/>
  <c r="E10" i="28"/>
  <c r="K112" i="35"/>
  <c r="P140" i="35"/>
  <c r="O140" i="35"/>
  <c r="N140" i="35"/>
  <c r="M140" i="35"/>
  <c r="K139" i="35"/>
  <c r="K138" i="35"/>
  <c r="K137" i="35"/>
  <c r="K135" i="35"/>
  <c r="K134" i="35"/>
  <c r="R133" i="35"/>
  <c r="K133" i="35"/>
  <c r="R132" i="35"/>
  <c r="K132" i="35"/>
  <c r="R131" i="35"/>
  <c r="K131" i="35"/>
  <c r="R130" i="35"/>
  <c r="K130" i="35"/>
  <c r="R129" i="35"/>
  <c r="K129" i="35"/>
  <c r="R128" i="35"/>
  <c r="K128" i="35"/>
  <c r="R127" i="35"/>
  <c r="K127" i="35"/>
  <c r="R126" i="35"/>
  <c r="K126" i="35"/>
  <c r="R125" i="35"/>
  <c r="K125" i="35"/>
  <c r="R124" i="35"/>
  <c r="K124" i="35"/>
  <c r="R123" i="35"/>
  <c r="K123" i="35"/>
  <c r="R122" i="35"/>
  <c r="K122" i="35"/>
  <c r="R121" i="35"/>
  <c r="K121" i="35"/>
  <c r="R120" i="35"/>
  <c r="K120" i="35"/>
  <c r="R119" i="35"/>
  <c r="K119" i="35"/>
  <c r="R118" i="35"/>
  <c r="K118" i="35"/>
  <c r="R117" i="35"/>
  <c r="K117" i="35"/>
  <c r="K111" i="35"/>
  <c r="R116" i="35"/>
  <c r="K116" i="35"/>
  <c r="R115" i="35"/>
  <c r="K115" i="35"/>
  <c r="R114" i="35"/>
  <c r="K114" i="35"/>
  <c r="R113" i="35"/>
  <c r="K113" i="35"/>
  <c r="R112" i="35"/>
  <c r="R111" i="35"/>
  <c r="H111" i="35"/>
  <c r="R110" i="35"/>
  <c r="K110" i="35"/>
  <c r="R109" i="35"/>
  <c r="K109" i="35"/>
  <c r="R108" i="35"/>
  <c r="K108" i="35"/>
  <c r="R107" i="35"/>
  <c r="K107" i="35"/>
  <c r="R106" i="35"/>
  <c r="K106" i="35"/>
  <c r="R105" i="35"/>
  <c r="K105" i="35"/>
  <c r="R104" i="35"/>
  <c r="K104" i="35"/>
  <c r="R103" i="35"/>
  <c r="K103" i="35"/>
  <c r="R102" i="35"/>
  <c r="K102" i="35"/>
  <c r="R101" i="35"/>
  <c r="K101" i="35"/>
  <c r="R100" i="35"/>
  <c r="K100" i="35"/>
  <c r="R99" i="35"/>
  <c r="K99" i="35"/>
  <c r="R98" i="35"/>
  <c r="K98" i="35"/>
  <c r="R97" i="35"/>
  <c r="K97" i="35"/>
  <c r="R96" i="35"/>
  <c r="K96" i="35"/>
  <c r="R95" i="35"/>
  <c r="K95" i="35"/>
  <c r="R94" i="35"/>
  <c r="K94" i="35"/>
  <c r="R93" i="35"/>
  <c r="K93" i="35"/>
  <c r="R92" i="35"/>
  <c r="K92" i="35"/>
  <c r="R91" i="35"/>
  <c r="K91" i="35"/>
  <c r="R90" i="35"/>
  <c r="K90" i="35"/>
  <c r="R89" i="35"/>
  <c r="K89" i="35"/>
  <c r="R88" i="35"/>
  <c r="K88" i="35"/>
  <c r="R87" i="35"/>
  <c r="K87" i="35"/>
  <c r="K86" i="35"/>
  <c r="R86" i="35"/>
  <c r="H86" i="35"/>
  <c r="R85" i="35"/>
  <c r="K85" i="35"/>
  <c r="R84" i="35"/>
  <c r="K84" i="35"/>
  <c r="R83" i="35"/>
  <c r="K83" i="35"/>
  <c r="R82" i="35"/>
  <c r="K82" i="35"/>
  <c r="R81" i="35"/>
  <c r="K81" i="35"/>
  <c r="R80" i="35"/>
  <c r="K80" i="35"/>
  <c r="R79" i="35"/>
  <c r="K79" i="35"/>
  <c r="R78" i="35"/>
  <c r="K78" i="35"/>
  <c r="R77" i="35"/>
  <c r="K77" i="35"/>
  <c r="R76" i="35"/>
  <c r="K76" i="35"/>
  <c r="K75" i="35"/>
  <c r="R75" i="35"/>
  <c r="H75" i="35"/>
  <c r="R74" i="35"/>
  <c r="K74" i="35"/>
  <c r="R73" i="35"/>
  <c r="K73" i="35"/>
  <c r="H73" i="35"/>
  <c r="R72" i="35"/>
  <c r="K72" i="35"/>
  <c r="R71" i="35"/>
  <c r="K71" i="35"/>
  <c r="R70" i="35"/>
  <c r="K70" i="35"/>
  <c r="R69" i="35"/>
  <c r="K69" i="35"/>
  <c r="R68" i="35"/>
  <c r="K68" i="35"/>
  <c r="R67" i="35"/>
  <c r="K67" i="35"/>
  <c r="R66" i="35"/>
  <c r="K66" i="35"/>
  <c r="R65" i="35"/>
  <c r="K65" i="35"/>
  <c r="R64" i="35"/>
  <c r="K64" i="35"/>
  <c r="R63" i="35"/>
  <c r="K63" i="35"/>
  <c r="R62" i="35"/>
  <c r="K62" i="35"/>
  <c r="R61" i="35"/>
  <c r="K61" i="35"/>
  <c r="K60" i="35"/>
  <c r="R60" i="35"/>
  <c r="H60" i="35"/>
  <c r="R59" i="35"/>
  <c r="K59" i="35"/>
  <c r="R58" i="35"/>
  <c r="K58" i="35"/>
  <c r="R57" i="35"/>
  <c r="K57" i="35"/>
  <c r="R56" i="35"/>
  <c r="K56" i="35"/>
  <c r="R55" i="35"/>
  <c r="K55" i="35"/>
  <c r="R54" i="35"/>
  <c r="K54" i="35"/>
  <c r="R53" i="35"/>
  <c r="K53" i="35"/>
  <c r="R52" i="35"/>
  <c r="K52" i="35"/>
  <c r="K51" i="35"/>
  <c r="R51" i="35"/>
  <c r="H51" i="35"/>
  <c r="R50" i="35"/>
  <c r="K50" i="35"/>
  <c r="R49" i="35"/>
  <c r="K49" i="35"/>
  <c r="R48" i="35"/>
  <c r="K48" i="35"/>
  <c r="R47" i="35"/>
  <c r="K47" i="35"/>
  <c r="R46" i="35"/>
  <c r="K46" i="35"/>
  <c r="R45" i="35"/>
  <c r="K45" i="35"/>
  <c r="R44" i="35"/>
  <c r="K44" i="35"/>
  <c r="R43" i="35"/>
  <c r="K43" i="35"/>
  <c r="R42" i="35"/>
  <c r="K42" i="35"/>
  <c r="R41" i="35"/>
  <c r="K41" i="35"/>
  <c r="R40" i="35"/>
  <c r="K40" i="35"/>
  <c r="R39" i="35"/>
  <c r="K39" i="35"/>
  <c r="K38" i="35"/>
  <c r="H38" i="35"/>
  <c r="H37" i="35"/>
  <c r="H140" i="35"/>
  <c r="P35" i="35"/>
  <c r="P141" i="35"/>
  <c r="O35" i="35"/>
  <c r="N35" i="35"/>
  <c r="N141" i="35"/>
  <c r="M35" i="35"/>
  <c r="R35" i="35"/>
  <c r="R34" i="35"/>
  <c r="K34" i="35"/>
  <c r="R33" i="35"/>
  <c r="K33" i="35"/>
  <c r="K32" i="35"/>
  <c r="R32" i="35"/>
  <c r="H32" i="35"/>
  <c r="R31" i="35"/>
  <c r="K31" i="35"/>
  <c r="K30" i="35"/>
  <c r="R30" i="35"/>
  <c r="H30" i="35"/>
  <c r="R29" i="35"/>
  <c r="R28" i="35"/>
  <c r="R27" i="35"/>
  <c r="K27" i="35"/>
  <c r="H27" i="35"/>
  <c r="R25" i="35"/>
  <c r="K25" i="35"/>
  <c r="R24" i="35"/>
  <c r="K24" i="35"/>
  <c r="R23" i="35"/>
  <c r="R22" i="35"/>
  <c r="K22" i="35"/>
  <c r="R21" i="35"/>
  <c r="K21" i="35"/>
  <c r="H21" i="35"/>
  <c r="R20" i="35"/>
  <c r="R19" i="35"/>
  <c r="R18" i="35"/>
  <c r="R17" i="35"/>
  <c r="K17" i="35"/>
  <c r="K15" i="35"/>
  <c r="R16" i="35"/>
  <c r="R15" i="35"/>
  <c r="H15" i="35"/>
  <c r="R14" i="35"/>
  <c r="K13" i="35"/>
  <c r="H13" i="35"/>
  <c r="K12" i="35"/>
  <c r="K11" i="35"/>
  <c r="H11" i="35"/>
  <c r="K10" i="35"/>
  <c r="K9" i="35"/>
  <c r="H9" i="35"/>
  <c r="H35" i="35"/>
  <c r="H141" i="35"/>
  <c r="H143" i="35"/>
  <c r="H145" i="35"/>
  <c r="H146" i="35"/>
  <c r="K88" i="26"/>
  <c r="K113" i="26"/>
  <c r="R83" i="26"/>
  <c r="S67" i="29"/>
  <c r="U67" i="29"/>
  <c r="K15" i="29"/>
  <c r="V68" i="27"/>
  <c r="AF20" i="34"/>
  <c r="AE20" i="34"/>
  <c r="AD20" i="34"/>
  <c r="AB20" i="34"/>
  <c r="AA20" i="34"/>
  <c r="Z20" i="34"/>
  <c r="Y20" i="34"/>
  <c r="X20" i="34"/>
  <c r="W20" i="34"/>
  <c r="V20" i="34"/>
  <c r="U20" i="34"/>
  <c r="T20" i="34"/>
  <c r="J20" i="34"/>
  <c r="I20" i="34"/>
  <c r="H20" i="34"/>
  <c r="G20" i="34"/>
  <c r="F20" i="34"/>
  <c r="E20" i="34"/>
  <c r="D20" i="34"/>
  <c r="S20" i="34"/>
  <c r="P20" i="34"/>
  <c r="O20" i="34"/>
  <c r="N20" i="34"/>
  <c r="M20" i="34"/>
  <c r="L20" i="34"/>
  <c r="K20" i="34"/>
  <c r="C20" i="34"/>
  <c r="R134" i="26"/>
  <c r="R133" i="26"/>
  <c r="R132" i="26"/>
  <c r="R131" i="26"/>
  <c r="R130" i="26"/>
  <c r="R129" i="26"/>
  <c r="R128" i="26"/>
  <c r="R127" i="26"/>
  <c r="R126" i="26"/>
  <c r="R125" i="26"/>
  <c r="R124" i="26"/>
  <c r="R123" i="26"/>
  <c r="R122" i="26"/>
  <c r="R121" i="26"/>
  <c r="R120" i="26"/>
  <c r="R119" i="26"/>
  <c r="R118" i="26"/>
  <c r="R117" i="26"/>
  <c r="R116" i="26"/>
  <c r="R115" i="26"/>
  <c r="R114" i="26"/>
  <c r="R113" i="26"/>
  <c r="R112" i="26"/>
  <c r="R111" i="26"/>
  <c r="R110" i="26"/>
  <c r="R109" i="26"/>
  <c r="R108" i="26"/>
  <c r="R107" i="26"/>
  <c r="R106" i="26"/>
  <c r="R105" i="26"/>
  <c r="R104" i="26"/>
  <c r="R103" i="26"/>
  <c r="R102" i="26"/>
  <c r="R101" i="26"/>
  <c r="R100" i="26"/>
  <c r="R99" i="26"/>
  <c r="R98" i="26"/>
  <c r="R97" i="26"/>
  <c r="R96" i="26"/>
  <c r="R95" i="26"/>
  <c r="R94" i="26"/>
  <c r="R93" i="26"/>
  <c r="R92" i="26"/>
  <c r="R91" i="26"/>
  <c r="R90" i="26"/>
  <c r="R89" i="26"/>
  <c r="R88" i="26"/>
  <c r="R87" i="26"/>
  <c r="R86" i="26"/>
  <c r="R85" i="26"/>
  <c r="R84" i="26"/>
  <c r="R82" i="26"/>
  <c r="R81" i="26"/>
  <c r="R80" i="26"/>
  <c r="R79" i="26"/>
  <c r="R78" i="26"/>
  <c r="R77" i="26"/>
  <c r="R75" i="26"/>
  <c r="R74" i="26"/>
  <c r="R73" i="26"/>
  <c r="R72" i="26"/>
  <c r="R71" i="26"/>
  <c r="R70" i="26"/>
  <c r="R69" i="26"/>
  <c r="R68" i="26"/>
  <c r="R66" i="26"/>
  <c r="R65" i="26"/>
  <c r="R64" i="26"/>
  <c r="R63" i="26"/>
  <c r="R62" i="26"/>
  <c r="R61" i="26"/>
  <c r="R59" i="26"/>
  <c r="R58" i="26"/>
  <c r="R57" i="26"/>
  <c r="R56" i="26"/>
  <c r="R55" i="26"/>
  <c r="R54" i="26"/>
  <c r="R53" i="26"/>
  <c r="R52" i="26"/>
  <c r="R50" i="26"/>
  <c r="R49" i="26"/>
  <c r="R48" i="26"/>
  <c r="R47" i="26"/>
  <c r="R46" i="26"/>
  <c r="R45" i="26"/>
  <c r="R44" i="26"/>
  <c r="R43" i="26"/>
  <c r="R42" i="26"/>
  <c r="R41" i="26"/>
  <c r="R40" i="26"/>
  <c r="R39" i="26"/>
  <c r="R34" i="26"/>
  <c r="R33" i="26"/>
  <c r="R32" i="26"/>
  <c r="R31" i="26"/>
  <c r="R30" i="26"/>
  <c r="R29" i="26"/>
  <c r="R28" i="26"/>
  <c r="R27" i="26"/>
  <c r="R25" i="26"/>
  <c r="R24" i="26"/>
  <c r="R23" i="26"/>
  <c r="R22" i="26"/>
  <c r="R21" i="26"/>
  <c r="R20" i="26"/>
  <c r="R19" i="26"/>
  <c r="R18" i="26"/>
  <c r="R17" i="26"/>
  <c r="R16" i="26"/>
  <c r="R15" i="26"/>
  <c r="R14" i="26"/>
  <c r="G10" i="28"/>
  <c r="F10" i="28"/>
  <c r="D10" i="28"/>
  <c r="C10" i="28"/>
  <c r="N32" i="33"/>
  <c r="M32" i="33"/>
  <c r="L32" i="33"/>
  <c r="K32" i="33"/>
  <c r="J32" i="33"/>
  <c r="I32" i="33"/>
  <c r="H32" i="33"/>
  <c r="G32" i="33"/>
  <c r="F32" i="33"/>
  <c r="E32" i="33"/>
  <c r="D32" i="33"/>
  <c r="C32" i="33"/>
  <c r="O26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N26" i="32"/>
  <c r="M26" i="32"/>
  <c r="L26" i="32"/>
  <c r="K26" i="32"/>
  <c r="J26" i="32"/>
  <c r="I26" i="32"/>
  <c r="H26" i="32"/>
  <c r="G26" i="32"/>
  <c r="F26" i="32"/>
  <c r="E26" i="32"/>
  <c r="D26" i="32"/>
  <c r="C26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N35" i="31"/>
  <c r="M35" i="31"/>
  <c r="L35" i="31"/>
  <c r="K35" i="31"/>
  <c r="J35" i="31"/>
  <c r="I35" i="31"/>
  <c r="H35" i="31"/>
  <c r="G35" i="31"/>
  <c r="F35" i="31"/>
  <c r="E35" i="31"/>
  <c r="D35" i="31"/>
  <c r="C35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N7" i="31"/>
  <c r="M7" i="31"/>
  <c r="L7" i="31"/>
  <c r="K7" i="31"/>
  <c r="J7" i="31"/>
  <c r="I7" i="31"/>
  <c r="H7" i="31"/>
  <c r="G7" i="31"/>
  <c r="F7" i="31"/>
  <c r="E7" i="31"/>
  <c r="D7" i="31"/>
  <c r="C7" i="31"/>
  <c r="F15" i="30"/>
  <c r="I15" i="30"/>
  <c r="F9" i="30"/>
  <c r="F5" i="30"/>
  <c r="I5" i="30"/>
  <c r="G28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5" i="23"/>
  <c r="F27" i="25"/>
  <c r="F25" i="25"/>
  <c r="F24" i="25"/>
  <c r="I4" i="28"/>
  <c r="H4" i="28"/>
  <c r="G4" i="28"/>
  <c r="F4" i="28"/>
  <c r="E4" i="28"/>
  <c r="D4" i="28"/>
  <c r="C4" i="28"/>
  <c r="H51" i="29"/>
  <c r="H27" i="26"/>
  <c r="K33" i="27"/>
  <c r="K13" i="27"/>
  <c r="K11" i="27"/>
  <c r="K13" i="29"/>
  <c r="K11" i="29"/>
  <c r="K33" i="29"/>
  <c r="K25" i="29"/>
  <c r="K26" i="29"/>
  <c r="K89" i="29"/>
  <c r="K97" i="29"/>
  <c r="K98" i="29"/>
  <c r="K99" i="29"/>
  <c r="K100" i="29"/>
  <c r="K101" i="29"/>
  <c r="K102" i="29"/>
  <c r="K106" i="29"/>
  <c r="K108" i="29"/>
  <c r="K109" i="29"/>
  <c r="K111" i="29"/>
  <c r="K88" i="29"/>
  <c r="D6" i="25"/>
  <c r="F6" i="30"/>
  <c r="I6" i="30"/>
  <c r="F14" i="30"/>
  <c r="I14" i="30"/>
  <c r="F16" i="30"/>
  <c r="I16" i="30"/>
  <c r="F17" i="30"/>
  <c r="I17" i="30"/>
  <c r="F18" i="30"/>
  <c r="I18" i="30"/>
  <c r="F19" i="30"/>
  <c r="I19" i="30"/>
  <c r="F21" i="30"/>
  <c r="I21" i="30"/>
  <c r="F23" i="30"/>
  <c r="I23" i="30"/>
  <c r="F25" i="30"/>
  <c r="I25" i="30"/>
  <c r="F26" i="30"/>
  <c r="I26" i="30"/>
  <c r="B28" i="30"/>
  <c r="R38" i="26"/>
  <c r="S50" i="26"/>
  <c r="S140" i="26"/>
  <c r="J10" i="28"/>
  <c r="F27" i="30"/>
  <c r="I27" i="30"/>
  <c r="I20" i="30"/>
  <c r="I13" i="30"/>
  <c r="I22" i="30"/>
  <c r="I11" i="30"/>
  <c r="F7" i="30"/>
  <c r="I7" i="30"/>
  <c r="H10" i="25"/>
  <c r="P35" i="31"/>
  <c r="K21" i="26"/>
  <c r="P21" i="31"/>
  <c r="R35" i="31"/>
  <c r="P7" i="31"/>
  <c r="K35" i="35"/>
  <c r="O141" i="35"/>
  <c r="K37" i="35"/>
  <c r="K140" i="35"/>
  <c r="K141" i="35"/>
  <c r="K143" i="35"/>
  <c r="S135" i="35"/>
  <c r="M141" i="35"/>
  <c r="G149" i="35"/>
  <c r="D28" i="30"/>
  <c r="I8" i="30"/>
  <c r="AC20" i="34"/>
  <c r="Q32" i="33"/>
  <c r="Q26" i="32"/>
  <c r="Q12" i="32"/>
  <c r="G28" i="30"/>
  <c r="I9" i="30"/>
  <c r="E28" i="30"/>
  <c r="C28" i="30"/>
  <c r="K114" i="29"/>
  <c r="K121" i="29"/>
  <c r="K123" i="29"/>
  <c r="K124" i="29"/>
  <c r="K125" i="29"/>
  <c r="K126" i="29"/>
  <c r="K127" i="29"/>
  <c r="K128" i="29"/>
  <c r="K130" i="29"/>
  <c r="K134" i="29"/>
  <c r="K135" i="29"/>
  <c r="K137" i="29"/>
  <c r="K138" i="29"/>
  <c r="K140" i="29"/>
  <c r="K113" i="29"/>
  <c r="K54" i="29"/>
  <c r="K55" i="29"/>
  <c r="S55" i="29"/>
  <c r="U55" i="29"/>
  <c r="K114" i="27"/>
  <c r="K123" i="27"/>
  <c r="K124" i="27"/>
  <c r="K125" i="27"/>
  <c r="K126" i="27"/>
  <c r="K127" i="27"/>
  <c r="K128" i="27"/>
  <c r="K134" i="27"/>
  <c r="K135" i="27"/>
  <c r="K137" i="27"/>
  <c r="K138" i="27"/>
  <c r="K140" i="27"/>
  <c r="K113" i="27"/>
  <c r="K89" i="27"/>
  <c r="K97" i="27"/>
  <c r="K98" i="27"/>
  <c r="K99" i="27"/>
  <c r="K100" i="27"/>
  <c r="K101" i="27"/>
  <c r="K102" i="27"/>
  <c r="K104" i="27"/>
  <c r="K106" i="27"/>
  <c r="K108" i="27"/>
  <c r="K109" i="27"/>
  <c r="K111" i="27"/>
  <c r="K88" i="27"/>
  <c r="V55" i="27"/>
  <c r="K55" i="27"/>
  <c r="K52" i="27"/>
  <c r="M44" i="29"/>
  <c r="K44" i="29"/>
  <c r="K46" i="27"/>
  <c r="M46" i="29"/>
  <c r="K46" i="29"/>
  <c r="K54" i="27"/>
  <c r="K39" i="27"/>
  <c r="M39" i="29"/>
  <c r="K39" i="29"/>
  <c r="K25" i="27"/>
  <c r="K26" i="27"/>
  <c r="K55" i="26"/>
  <c r="K52" i="26"/>
  <c r="K149" i="35"/>
  <c r="S141" i="35"/>
  <c r="N149" i="35"/>
  <c r="F28" i="30"/>
  <c r="K51" i="29"/>
  <c r="H28" i="30"/>
  <c r="K51" i="27"/>
  <c r="S11" i="29"/>
  <c r="S12" i="29"/>
  <c r="S13" i="29"/>
  <c r="S14" i="29"/>
  <c r="S15" i="29"/>
  <c r="S16" i="29"/>
  <c r="U16" i="29"/>
  <c r="S17" i="29"/>
  <c r="U17" i="29"/>
  <c r="S18" i="29"/>
  <c r="U18" i="29"/>
  <c r="S19" i="29"/>
  <c r="U19" i="29"/>
  <c r="S20" i="29"/>
  <c r="S21" i="29"/>
  <c r="S22" i="29"/>
  <c r="S23" i="29"/>
  <c r="U23" i="29"/>
  <c r="S24" i="29"/>
  <c r="S25" i="29"/>
  <c r="S26" i="29"/>
  <c r="S27" i="29"/>
  <c r="S28" i="29"/>
  <c r="S29" i="29"/>
  <c r="S30" i="29"/>
  <c r="S31" i="29"/>
  <c r="S32" i="29"/>
  <c r="S33" i="29"/>
  <c r="S34" i="29"/>
  <c r="S36" i="29"/>
  <c r="S37" i="29"/>
  <c r="S38" i="29"/>
  <c r="S39" i="29"/>
  <c r="S40" i="29"/>
  <c r="U40" i="29"/>
  <c r="S41" i="29"/>
  <c r="U41" i="29"/>
  <c r="S42" i="29"/>
  <c r="U42" i="29"/>
  <c r="S43" i="29"/>
  <c r="U43" i="29"/>
  <c r="S44" i="29"/>
  <c r="U44" i="29"/>
  <c r="S45" i="29"/>
  <c r="U45" i="29"/>
  <c r="S46" i="29"/>
  <c r="S47" i="29"/>
  <c r="U47" i="29"/>
  <c r="S48" i="29"/>
  <c r="U48" i="29"/>
  <c r="S49" i="29"/>
  <c r="U49" i="29"/>
  <c r="S50" i="29"/>
  <c r="U50" i="29"/>
  <c r="S51" i="29"/>
  <c r="S53" i="29"/>
  <c r="U53" i="29"/>
  <c r="S54" i="29"/>
  <c r="S56" i="29"/>
  <c r="U56" i="29"/>
  <c r="S57" i="29"/>
  <c r="U57" i="29"/>
  <c r="S58" i="29"/>
  <c r="U58" i="29"/>
  <c r="S59" i="29"/>
  <c r="U59" i="29"/>
  <c r="S60" i="29"/>
  <c r="S61" i="29"/>
  <c r="U61" i="29"/>
  <c r="S62" i="29"/>
  <c r="U62" i="29"/>
  <c r="S63" i="29"/>
  <c r="U63" i="29"/>
  <c r="S64" i="29"/>
  <c r="U64" i="29"/>
  <c r="S65" i="29"/>
  <c r="U65" i="29"/>
  <c r="S66" i="29"/>
  <c r="U66" i="29"/>
  <c r="S68" i="29"/>
  <c r="U68" i="29"/>
  <c r="S69" i="29"/>
  <c r="U69" i="29"/>
  <c r="S70" i="29"/>
  <c r="U70" i="29"/>
  <c r="S71" i="29"/>
  <c r="U71" i="29"/>
  <c r="S72" i="29"/>
  <c r="U72" i="29"/>
  <c r="S73" i="29"/>
  <c r="U73" i="29"/>
  <c r="S74" i="29"/>
  <c r="S75" i="29"/>
  <c r="S76" i="29"/>
  <c r="S77" i="29"/>
  <c r="S78" i="29"/>
  <c r="S79" i="29"/>
  <c r="S80" i="29"/>
  <c r="S81" i="29"/>
  <c r="S82" i="29"/>
  <c r="S84" i="29"/>
  <c r="S85" i="29"/>
  <c r="S86" i="29"/>
  <c r="S87" i="29"/>
  <c r="S88" i="29"/>
  <c r="S89" i="29"/>
  <c r="S90" i="29"/>
  <c r="U90" i="29"/>
  <c r="S91" i="29"/>
  <c r="U91" i="29"/>
  <c r="S92" i="29"/>
  <c r="U92" i="29"/>
  <c r="S93" i="29"/>
  <c r="U93" i="29"/>
  <c r="S94" i="29"/>
  <c r="U94" i="29"/>
  <c r="S95" i="29"/>
  <c r="S96" i="29"/>
  <c r="U96" i="29"/>
  <c r="S97" i="29"/>
  <c r="S98" i="29"/>
  <c r="S99" i="29"/>
  <c r="S100" i="29"/>
  <c r="S101" i="29"/>
  <c r="S102" i="29"/>
  <c r="S103" i="29"/>
  <c r="U103" i="29"/>
  <c r="S104" i="29"/>
  <c r="S105" i="29"/>
  <c r="U105" i="29"/>
  <c r="S106" i="29"/>
  <c r="S107" i="29"/>
  <c r="U107" i="29"/>
  <c r="S108" i="29"/>
  <c r="U108" i="29"/>
  <c r="S109" i="29"/>
  <c r="U110" i="29"/>
  <c r="S111" i="29"/>
  <c r="S112" i="29"/>
  <c r="S113" i="29"/>
  <c r="S114" i="29"/>
  <c r="S115" i="29"/>
  <c r="S116" i="29"/>
  <c r="S117" i="29"/>
  <c r="S118" i="29"/>
  <c r="S119" i="29"/>
  <c r="S120" i="29"/>
  <c r="S121" i="29"/>
  <c r="S122" i="29"/>
  <c r="S123" i="29"/>
  <c r="S124" i="29"/>
  <c r="S125" i="29"/>
  <c r="S126" i="29"/>
  <c r="S127" i="29"/>
  <c r="S128" i="29"/>
  <c r="S129" i="29"/>
  <c r="S130" i="29"/>
  <c r="S131" i="29"/>
  <c r="S132" i="29"/>
  <c r="S133" i="29"/>
  <c r="S134" i="29"/>
  <c r="S135" i="29"/>
  <c r="S136" i="29"/>
  <c r="S137" i="29"/>
  <c r="S138" i="29"/>
  <c r="S139" i="29"/>
  <c r="S140" i="29"/>
  <c r="S143" i="29"/>
  <c r="S144" i="29"/>
  <c r="S145" i="29"/>
  <c r="S146" i="29"/>
  <c r="S147" i="29"/>
  <c r="S148" i="29"/>
  <c r="S8" i="29"/>
  <c r="S9" i="29"/>
  <c r="S10" i="29"/>
  <c r="S7" i="29"/>
  <c r="R141" i="29"/>
  <c r="Q141" i="29"/>
  <c r="P141" i="29"/>
  <c r="O141" i="29"/>
  <c r="N141" i="29"/>
  <c r="M141" i="29"/>
  <c r="K112" i="29"/>
  <c r="H112" i="29"/>
  <c r="K87" i="29"/>
  <c r="H87" i="29"/>
  <c r="K76" i="29"/>
  <c r="H76" i="29"/>
  <c r="K74" i="29"/>
  <c r="H74" i="29"/>
  <c r="K60" i="29"/>
  <c r="H60" i="29"/>
  <c r="K38" i="29"/>
  <c r="H38" i="29"/>
  <c r="R35" i="29"/>
  <c r="Q35" i="29"/>
  <c r="P35" i="29"/>
  <c r="O35" i="29"/>
  <c r="N35" i="29"/>
  <c r="M35" i="29"/>
  <c r="K32" i="29"/>
  <c r="H32" i="29"/>
  <c r="K30" i="29"/>
  <c r="H30" i="29"/>
  <c r="K27" i="29"/>
  <c r="H27" i="29"/>
  <c r="K22" i="29"/>
  <c r="H22" i="29"/>
  <c r="K16" i="29"/>
  <c r="H16" i="29"/>
  <c r="H14" i="29"/>
  <c r="K12" i="29"/>
  <c r="H12" i="29"/>
  <c r="K10" i="29"/>
  <c r="H10" i="29"/>
  <c r="S141" i="29"/>
  <c r="I28" i="30"/>
  <c r="R142" i="29"/>
  <c r="K37" i="29"/>
  <c r="K141" i="29"/>
  <c r="S35" i="29"/>
  <c r="U35" i="29"/>
  <c r="O142" i="29"/>
  <c r="H37" i="29"/>
  <c r="H141" i="29"/>
  <c r="P142" i="29"/>
  <c r="U141" i="29"/>
  <c r="M142" i="29"/>
  <c r="H35" i="29"/>
  <c r="N142" i="29"/>
  <c r="Q142" i="29"/>
  <c r="K140" i="26"/>
  <c r="K130" i="26"/>
  <c r="K134" i="26"/>
  <c r="K135" i="26"/>
  <c r="K121" i="26"/>
  <c r="K123" i="26"/>
  <c r="K124" i="26"/>
  <c r="K125" i="26"/>
  <c r="K126" i="26"/>
  <c r="K127" i="26"/>
  <c r="K128" i="26"/>
  <c r="K114" i="26"/>
  <c r="K108" i="26"/>
  <c r="K109" i="26"/>
  <c r="K111" i="26"/>
  <c r="K97" i="26"/>
  <c r="K98" i="26"/>
  <c r="K99" i="26"/>
  <c r="K100" i="26"/>
  <c r="K101" i="26"/>
  <c r="K102" i="26"/>
  <c r="K104" i="26"/>
  <c r="K106" i="26"/>
  <c r="K89" i="26"/>
  <c r="K75" i="26"/>
  <c r="K54" i="26"/>
  <c r="K46" i="26"/>
  <c r="K39" i="26"/>
  <c r="K31" i="26"/>
  <c r="K12" i="26"/>
  <c r="K10" i="26"/>
  <c r="H112" i="26"/>
  <c r="K51" i="26"/>
  <c r="H142" i="29"/>
  <c r="H145" i="29"/>
  <c r="H147" i="29"/>
  <c r="H148" i="29"/>
  <c r="S142" i="29"/>
  <c r="U142" i="29"/>
  <c r="V8" i="27"/>
  <c r="V9" i="27"/>
  <c r="V10" i="27"/>
  <c r="V11" i="27"/>
  <c r="V12" i="27"/>
  <c r="V13" i="27"/>
  <c r="V14" i="27"/>
  <c r="V15" i="27"/>
  <c r="V16" i="27"/>
  <c r="V17" i="27"/>
  <c r="V18" i="27"/>
  <c r="V19" i="27"/>
  <c r="V20" i="27"/>
  <c r="V21" i="27"/>
  <c r="V22" i="27"/>
  <c r="V23" i="27"/>
  <c r="V24" i="27"/>
  <c r="V25" i="27"/>
  <c r="V26" i="27"/>
  <c r="V27" i="27"/>
  <c r="V28" i="27"/>
  <c r="V29" i="27"/>
  <c r="V30" i="27"/>
  <c r="V31" i="27"/>
  <c r="V32" i="27"/>
  <c r="V33" i="27"/>
  <c r="V34" i="27"/>
  <c r="V36" i="27"/>
  <c r="V37" i="27"/>
  <c r="V38" i="27"/>
  <c r="V39" i="27"/>
  <c r="V40" i="27"/>
  <c r="V41" i="27"/>
  <c r="V42" i="27"/>
  <c r="V43" i="27"/>
  <c r="V44" i="27"/>
  <c r="V45" i="27"/>
  <c r="V46" i="27"/>
  <c r="V47" i="27"/>
  <c r="V48" i="27"/>
  <c r="V49" i="27"/>
  <c r="V50" i="27"/>
  <c r="V51" i="27"/>
  <c r="V53" i="27"/>
  <c r="V54" i="27"/>
  <c r="V56" i="27"/>
  <c r="V57" i="27"/>
  <c r="V58" i="27"/>
  <c r="V59" i="27"/>
  <c r="V60" i="27"/>
  <c r="V61" i="27"/>
  <c r="V62" i="27"/>
  <c r="V63" i="27"/>
  <c r="V64" i="27"/>
  <c r="V65" i="27"/>
  <c r="V66" i="27"/>
  <c r="V67" i="27"/>
  <c r="V69" i="27"/>
  <c r="V70" i="27"/>
  <c r="V71" i="27"/>
  <c r="V72" i="27"/>
  <c r="V73" i="27"/>
  <c r="V74" i="27"/>
  <c r="V75" i="27"/>
  <c r="V76" i="27"/>
  <c r="V77" i="27"/>
  <c r="V78" i="27"/>
  <c r="V79" i="27"/>
  <c r="V80" i="27"/>
  <c r="V81" i="27"/>
  <c r="V82" i="27"/>
  <c r="V84" i="27"/>
  <c r="V85" i="27"/>
  <c r="V86" i="27"/>
  <c r="V87" i="27"/>
  <c r="V88" i="27"/>
  <c r="V89" i="27"/>
  <c r="V90" i="27"/>
  <c r="V91" i="27"/>
  <c r="V92" i="27"/>
  <c r="V93" i="27"/>
  <c r="V94" i="27"/>
  <c r="V95" i="27"/>
  <c r="V96" i="27"/>
  <c r="V97" i="27"/>
  <c r="V98" i="27"/>
  <c r="V99" i="27"/>
  <c r="V100" i="27"/>
  <c r="V101" i="27"/>
  <c r="V102" i="27"/>
  <c r="V103" i="27"/>
  <c r="V104" i="27"/>
  <c r="V105" i="27"/>
  <c r="V106" i="27"/>
  <c r="V107" i="27"/>
  <c r="V108" i="27"/>
  <c r="V109" i="27"/>
  <c r="V110" i="27"/>
  <c r="V111" i="27"/>
  <c r="V112" i="27"/>
  <c r="V113" i="27"/>
  <c r="V114" i="27"/>
  <c r="V115" i="27"/>
  <c r="V116" i="27"/>
  <c r="V117" i="27"/>
  <c r="V118" i="27"/>
  <c r="V119" i="27"/>
  <c r="V120" i="27"/>
  <c r="V121" i="27"/>
  <c r="V122" i="27"/>
  <c r="V123" i="27"/>
  <c r="V124" i="27"/>
  <c r="V125" i="27"/>
  <c r="V126" i="27"/>
  <c r="V127" i="27"/>
  <c r="V128" i="27"/>
  <c r="V129" i="27"/>
  <c r="V130" i="27"/>
  <c r="V131" i="27"/>
  <c r="V132" i="27"/>
  <c r="V133" i="27"/>
  <c r="V134" i="27"/>
  <c r="V135" i="27"/>
  <c r="V136" i="27"/>
  <c r="V137" i="27"/>
  <c r="V138" i="27"/>
  <c r="V139" i="27"/>
  <c r="V140" i="27"/>
  <c r="V7" i="27"/>
  <c r="M141" i="27"/>
  <c r="K76" i="27"/>
  <c r="K87" i="27"/>
  <c r="K112" i="27"/>
  <c r="X50" i="27"/>
  <c r="B33" i="25"/>
  <c r="G24" i="25"/>
  <c r="H24" i="25"/>
  <c r="G25" i="25"/>
  <c r="H25" i="25"/>
  <c r="G27" i="25"/>
  <c r="H27" i="25"/>
  <c r="H74" i="26"/>
  <c r="K74" i="26"/>
  <c r="K76" i="26"/>
  <c r="H76" i="26"/>
  <c r="K60" i="26"/>
  <c r="H60" i="26"/>
  <c r="H38" i="26"/>
  <c r="K38" i="26"/>
  <c r="K37" i="26"/>
  <c r="H37" i="26"/>
  <c r="E32" i="25"/>
  <c r="E31" i="25"/>
  <c r="E30" i="25"/>
  <c r="E29" i="25"/>
  <c r="E28" i="25"/>
  <c r="E26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9" i="25"/>
  <c r="E8" i="25"/>
  <c r="E7" i="25"/>
  <c r="E6" i="25"/>
  <c r="D32" i="25"/>
  <c r="D31" i="25"/>
  <c r="D30" i="25"/>
  <c r="D29" i="25"/>
  <c r="D28" i="25"/>
  <c r="D26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9" i="25"/>
  <c r="D8" i="25"/>
  <c r="D7" i="25"/>
  <c r="C32" i="25"/>
  <c r="C31" i="25"/>
  <c r="C30" i="25"/>
  <c r="C29" i="25"/>
  <c r="C28" i="25"/>
  <c r="C26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9" i="25"/>
  <c r="C8" i="25"/>
  <c r="C7" i="25"/>
  <c r="C6" i="25"/>
  <c r="G18" i="25"/>
  <c r="F18" i="25"/>
  <c r="D33" i="25"/>
  <c r="G28" i="25"/>
  <c r="F28" i="25"/>
  <c r="G20" i="25"/>
  <c r="F20" i="25"/>
  <c r="G29" i="25"/>
  <c r="F29" i="25"/>
  <c r="E33" i="25"/>
  <c r="F8" i="25"/>
  <c r="G8" i="25"/>
  <c r="G15" i="25"/>
  <c r="F15" i="25"/>
  <c r="G21" i="25"/>
  <c r="F21" i="25"/>
  <c r="H21" i="25"/>
  <c r="G26" i="25"/>
  <c r="F26" i="25"/>
  <c r="G6" i="25"/>
  <c r="G19" i="25"/>
  <c r="F19" i="25"/>
  <c r="G16" i="25"/>
  <c r="F16" i="25"/>
  <c r="G22" i="25"/>
  <c r="F22" i="25"/>
  <c r="G31" i="25"/>
  <c r="F31" i="25"/>
  <c r="G11" i="25"/>
  <c r="F11" i="25"/>
  <c r="G17" i="25"/>
  <c r="F17" i="25"/>
  <c r="G23" i="25"/>
  <c r="F23" i="25"/>
  <c r="G32" i="25"/>
  <c r="F32" i="25"/>
  <c r="G30" i="25"/>
  <c r="F30" i="25"/>
  <c r="C33" i="25"/>
  <c r="G7" i="25"/>
  <c r="F7" i="25"/>
  <c r="G14" i="25"/>
  <c r="F14" i="25"/>
  <c r="G13" i="25"/>
  <c r="F13" i="25"/>
  <c r="G12" i="25"/>
  <c r="F12" i="25"/>
  <c r="H12" i="25"/>
  <c r="G9" i="25"/>
  <c r="F9" i="25"/>
  <c r="F6" i="25"/>
  <c r="H6" i="25"/>
  <c r="H15" i="25"/>
  <c r="H17" i="25"/>
  <c r="H9" i="25"/>
  <c r="H14" i="25"/>
  <c r="H26" i="25"/>
  <c r="H18" i="25"/>
  <c r="H23" i="25"/>
  <c r="H31" i="25"/>
  <c r="H19" i="25"/>
  <c r="H6" i="23"/>
  <c r="H32" i="25"/>
  <c r="H11" i="25"/>
  <c r="H16" i="25"/>
  <c r="H28" i="25"/>
  <c r="H29" i="25"/>
  <c r="H8" i="25"/>
  <c r="H13" i="25"/>
  <c r="H22" i="25"/>
  <c r="H20" i="25"/>
  <c r="G33" i="25"/>
  <c r="H30" i="25"/>
  <c r="H7" i="25"/>
  <c r="F33" i="25"/>
  <c r="I6" i="28"/>
  <c r="I5" i="28"/>
  <c r="H6" i="28"/>
  <c r="H5" i="28"/>
  <c r="G6" i="28"/>
  <c r="G5" i="28"/>
  <c r="F6" i="28"/>
  <c r="F5" i="28"/>
  <c r="D6" i="28"/>
  <c r="D5" i="28"/>
  <c r="C6" i="28"/>
  <c r="C5" i="28"/>
  <c r="E6" i="28"/>
  <c r="E5" i="28"/>
  <c r="H33" i="25"/>
  <c r="J5" i="28"/>
  <c r="J4" i="28"/>
  <c r="J6" i="28"/>
  <c r="K74" i="27"/>
  <c r="K60" i="27"/>
  <c r="K38" i="27"/>
  <c r="K37" i="27"/>
  <c r="K141" i="27"/>
  <c r="U141" i="27"/>
  <c r="T141" i="27"/>
  <c r="S141" i="27"/>
  <c r="R141" i="27"/>
  <c r="Q141" i="27"/>
  <c r="P141" i="27"/>
  <c r="O141" i="27"/>
  <c r="N141" i="27"/>
  <c r="U35" i="27"/>
  <c r="T35" i="27"/>
  <c r="S35" i="27"/>
  <c r="R35" i="27"/>
  <c r="Q35" i="27"/>
  <c r="P35" i="27"/>
  <c r="O35" i="27"/>
  <c r="N35" i="27"/>
  <c r="M35" i="27"/>
  <c r="K30" i="27"/>
  <c r="K14" i="27"/>
  <c r="K12" i="27"/>
  <c r="K10" i="27"/>
  <c r="V141" i="27"/>
  <c r="X141" i="27"/>
  <c r="V35" i="27"/>
  <c r="Q142" i="27"/>
  <c r="S142" i="27"/>
  <c r="U142" i="27"/>
  <c r="O142" i="27"/>
  <c r="M142" i="27"/>
  <c r="N142" i="27"/>
  <c r="P142" i="27"/>
  <c r="R142" i="27"/>
  <c r="T142" i="27"/>
  <c r="K16" i="27"/>
  <c r="K27" i="27"/>
  <c r="K32" i="27"/>
  <c r="K22" i="27"/>
  <c r="H35" i="27"/>
  <c r="V142" i="27"/>
  <c r="V143" i="27"/>
  <c r="K35" i="27"/>
  <c r="P141" i="26"/>
  <c r="O141" i="26"/>
  <c r="N141" i="26"/>
  <c r="M141" i="26"/>
  <c r="H87" i="26"/>
  <c r="P35" i="26"/>
  <c r="O35" i="26"/>
  <c r="N35" i="26"/>
  <c r="M35" i="26"/>
  <c r="H32" i="26"/>
  <c r="K30" i="26"/>
  <c r="H30" i="26"/>
  <c r="K13" i="26"/>
  <c r="H13" i="26"/>
  <c r="K11" i="26"/>
  <c r="H11" i="26"/>
  <c r="K9" i="26"/>
  <c r="H9" i="26"/>
  <c r="S141" i="26"/>
  <c r="R35" i="26"/>
  <c r="K32" i="26"/>
  <c r="K27" i="26"/>
  <c r="K142" i="27"/>
  <c r="K145" i="27"/>
  <c r="O142" i="26"/>
  <c r="K87" i="26"/>
  <c r="M142" i="26"/>
  <c r="N142" i="26"/>
  <c r="H15" i="26"/>
  <c r="H35" i="26"/>
  <c r="K15" i="26"/>
  <c r="K112" i="26"/>
  <c r="P142" i="26"/>
  <c r="H141" i="26"/>
  <c r="G150" i="26"/>
  <c r="B29" i="23"/>
  <c r="H28" i="23"/>
  <c r="H26" i="23"/>
  <c r="H14" i="23"/>
  <c r="H13" i="23"/>
  <c r="H22" i="23"/>
  <c r="K35" i="26"/>
  <c r="H25" i="23"/>
  <c r="H12" i="23"/>
  <c r="K141" i="26"/>
  <c r="H142" i="26"/>
  <c r="H144" i="26"/>
  <c r="H146" i="26"/>
  <c r="H147" i="26"/>
  <c r="D29" i="23"/>
  <c r="F29" i="23"/>
  <c r="H24" i="23"/>
  <c r="H23" i="23"/>
  <c r="H21" i="23"/>
  <c r="H20" i="23"/>
  <c r="H19" i="23"/>
  <c r="H18" i="23"/>
  <c r="H17" i="23"/>
  <c r="H16" i="23"/>
  <c r="H15" i="23"/>
  <c r="H11" i="23"/>
  <c r="H10" i="23"/>
  <c r="H9" i="23"/>
  <c r="H8" i="23"/>
  <c r="H7" i="23"/>
  <c r="E29" i="23"/>
  <c r="H5" i="23"/>
  <c r="H27" i="23"/>
  <c r="C29" i="23"/>
  <c r="K150" i="26"/>
  <c r="S142" i="26"/>
  <c r="K142" i="26"/>
  <c r="K144" i="26"/>
  <c r="N150" i="26"/>
  <c r="G29" i="23"/>
  <c r="H29" i="23"/>
  <c r="K14" i="29"/>
  <c r="K35" i="29"/>
  <c r="K142" i="29"/>
  <c r="K145" i="29"/>
  <c r="H141" i="27"/>
  <c r="H142" i="27"/>
  <c r="H145" i="27"/>
  <c r="H147" i="27"/>
  <c r="H148" i="27"/>
  <c r="K150" i="36" l="1"/>
  <c r="N150" i="36"/>
  <c r="S142" i="36"/>
  <c r="K142" i="36"/>
  <c r="K144" i="36" s="1"/>
  <c r="O142" i="36"/>
  <c r="R142" i="36" s="1"/>
  <c r="S86" i="36"/>
  <c r="S140" i="36" s="1"/>
</calcChain>
</file>

<file path=xl/sharedStrings.xml><?xml version="1.0" encoding="utf-8"?>
<sst xmlns="http://schemas.openxmlformats.org/spreadsheetml/2006/main" count="1363" uniqueCount="232">
  <si>
    <t>単位：円</t>
    <rPh sb="0" eb="2">
      <t>タンイ</t>
    </rPh>
    <rPh sb="3" eb="4">
      <t>エン</t>
    </rPh>
    <phoneticPr fontId="6"/>
  </si>
  <si>
    <t>科　　　目</t>
    <rPh sb="0" eb="1">
      <t>カ</t>
    </rPh>
    <rPh sb="4" eb="5">
      <t>メ</t>
    </rPh>
    <phoneticPr fontId="6"/>
  </si>
  <si>
    <t>前年度予算</t>
    <rPh sb="0" eb="3">
      <t>ゼンネンド</t>
    </rPh>
    <rPh sb="3" eb="5">
      <t>ヨサン</t>
    </rPh>
    <phoneticPr fontId="6"/>
  </si>
  <si>
    <t>予算額</t>
    <rPh sb="0" eb="2">
      <t>ヨサン</t>
    </rPh>
    <rPh sb="2" eb="3">
      <t>ガク</t>
    </rPh>
    <phoneticPr fontId="6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</si>
  <si>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6"/>
  </si>
  <si>
    <t>収益事業等会計</t>
    <rPh sb="0" eb="2">
      <t>シュウエキ</t>
    </rPh>
    <rPh sb="2" eb="4">
      <t>ジギョウ</t>
    </rPh>
    <rPh sb="4" eb="5">
      <t>トウ</t>
    </rPh>
    <rPh sb="5" eb="7">
      <t>カイケイ</t>
    </rPh>
    <phoneticPr fontId="6"/>
  </si>
  <si>
    <t>法人会計</t>
    <rPh sb="0" eb="2">
      <t>ホウジン</t>
    </rPh>
    <rPh sb="2" eb="4">
      <t>カイケイ</t>
    </rPh>
    <phoneticPr fontId="6"/>
  </si>
  <si>
    <t>公１－１</t>
    <rPh sb="0" eb="1">
      <t>コウ</t>
    </rPh>
    <phoneticPr fontId="6"/>
  </si>
  <si>
    <t>公１－２</t>
    <rPh sb="0" eb="1">
      <t>コウ</t>
    </rPh>
    <phoneticPr fontId="6"/>
  </si>
  <si>
    <t>公１－３</t>
    <rPh sb="0" eb="1">
      <t>コウ</t>
    </rPh>
    <phoneticPr fontId="6"/>
  </si>
  <si>
    <t>公２</t>
    <rPh sb="0" eb="1">
      <t>コウ</t>
    </rPh>
    <phoneticPr fontId="6"/>
  </si>
  <si>
    <t>公３</t>
    <rPh sb="0" eb="1">
      <t>コウ</t>
    </rPh>
    <phoneticPr fontId="6"/>
  </si>
  <si>
    <t>共通</t>
    <rPh sb="0" eb="2">
      <t>キョウツウ</t>
    </rPh>
    <phoneticPr fontId="6"/>
  </si>
  <si>
    <t>収益事業</t>
    <rPh sb="0" eb="2">
      <t>シュウエキ</t>
    </rPh>
    <rPh sb="2" eb="4">
      <t>ジギョウ</t>
    </rPh>
    <phoneticPr fontId="6"/>
  </si>
  <si>
    <t>共益事業</t>
    <rPh sb="0" eb="2">
      <t>キョウエキ</t>
    </rPh>
    <rPh sb="2" eb="4">
      <t>ジギョウ</t>
    </rPh>
    <phoneticPr fontId="6"/>
  </si>
  <si>
    <t xml:space="preserve">I　一般正味財産増減の部                                                   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6"/>
  </si>
  <si>
    <t>１　経常増減の部</t>
    <rPh sb="2" eb="4">
      <t>ケイジョウ</t>
    </rPh>
    <rPh sb="4" eb="6">
      <t>ゾウゲン</t>
    </rPh>
    <rPh sb="7" eb="8">
      <t>ブ</t>
    </rPh>
    <phoneticPr fontId="6"/>
  </si>
  <si>
    <t>（１）経常収益</t>
    <rPh sb="3" eb="5">
      <t>ケイジョウ</t>
    </rPh>
    <rPh sb="5" eb="7">
      <t>シュウエキ</t>
    </rPh>
    <phoneticPr fontId="6"/>
  </si>
  <si>
    <t>基本財産運用益</t>
    <rPh sb="0" eb="2">
      <t>キホン</t>
    </rPh>
    <rPh sb="2" eb="4">
      <t>ザイサン</t>
    </rPh>
    <rPh sb="4" eb="6">
      <t>ウンヨウ</t>
    </rPh>
    <rPh sb="6" eb="7">
      <t>エキ</t>
    </rPh>
    <phoneticPr fontId="6"/>
  </si>
  <si>
    <t>(</t>
    <phoneticPr fontId="6"/>
  </si>
  <si>
    <t>)</t>
    <phoneticPr fontId="6"/>
  </si>
  <si>
    <t>（</t>
    <phoneticPr fontId="6"/>
  </si>
  <si>
    <t>）</t>
    <phoneticPr fontId="6"/>
  </si>
  <si>
    <t>基本財産受取利息</t>
    <rPh sb="0" eb="2">
      <t>キホン</t>
    </rPh>
    <rPh sb="2" eb="4">
      <t>ザイサン</t>
    </rPh>
    <rPh sb="4" eb="6">
      <t>ウケトリ</t>
    </rPh>
    <rPh sb="6" eb="8">
      <t>リソク</t>
    </rPh>
    <phoneticPr fontId="6"/>
  </si>
  <si>
    <t>特定資産運用益</t>
    <rPh sb="0" eb="2">
      <t>トクテイ</t>
    </rPh>
    <rPh sb="2" eb="4">
      <t>シサン</t>
    </rPh>
    <rPh sb="4" eb="6">
      <t>ウンヨウ</t>
    </rPh>
    <rPh sb="6" eb="7">
      <t>エキ</t>
    </rPh>
    <phoneticPr fontId="6"/>
  </si>
  <si>
    <t>受取会費</t>
    <rPh sb="0" eb="2">
      <t>ウケトリ</t>
    </rPh>
    <rPh sb="2" eb="4">
      <t>カイヒ</t>
    </rPh>
    <phoneticPr fontId="6"/>
  </si>
  <si>
    <t>一般会費</t>
    <rPh sb="0" eb="2">
      <t>イッパン</t>
    </rPh>
    <rPh sb="2" eb="4">
      <t>カイヒ</t>
    </rPh>
    <phoneticPr fontId="6"/>
  </si>
  <si>
    <t>事業収益</t>
    <rPh sb="0" eb="2">
      <t>ジギョウ</t>
    </rPh>
    <rPh sb="2" eb="4">
      <t>シュウエキ</t>
    </rPh>
    <phoneticPr fontId="6"/>
  </si>
  <si>
    <t>税の啓発事業収益</t>
    <rPh sb="0" eb="1">
      <t>ゼイ</t>
    </rPh>
    <rPh sb="2" eb="4">
      <t>ケイハツ</t>
    </rPh>
    <rPh sb="4" eb="6">
      <t>ジギョウ</t>
    </rPh>
    <rPh sb="6" eb="8">
      <t>シュウエキ</t>
    </rPh>
    <phoneticPr fontId="6"/>
  </si>
  <si>
    <t>経営支援事業収益</t>
    <rPh sb="0" eb="2">
      <t>ケイエイ</t>
    </rPh>
    <rPh sb="2" eb="4">
      <t>シエン</t>
    </rPh>
    <rPh sb="4" eb="6">
      <t>ジギョウ</t>
    </rPh>
    <rPh sb="6" eb="8">
      <t>シュウエキ</t>
    </rPh>
    <phoneticPr fontId="6"/>
  </si>
  <si>
    <t>地域発展事業収益</t>
    <rPh sb="0" eb="2">
      <t>チイキ</t>
    </rPh>
    <rPh sb="2" eb="4">
      <t>ハッテン</t>
    </rPh>
    <rPh sb="4" eb="6">
      <t>ジギョウ</t>
    </rPh>
    <rPh sb="6" eb="8">
      <t>シュウエキ</t>
    </rPh>
    <phoneticPr fontId="6"/>
  </si>
  <si>
    <t>福利厚生事業収益</t>
    <rPh sb="0" eb="2">
      <t>フクリ</t>
    </rPh>
    <rPh sb="2" eb="4">
      <t>コウセイ</t>
    </rPh>
    <rPh sb="4" eb="6">
      <t>ジギョウ</t>
    </rPh>
    <rPh sb="6" eb="8">
      <t>シュウエキ</t>
    </rPh>
    <phoneticPr fontId="6"/>
  </si>
  <si>
    <t>会員支援事業収益</t>
    <rPh sb="0" eb="2">
      <t>カイイン</t>
    </rPh>
    <rPh sb="2" eb="4">
      <t>シエン</t>
    </rPh>
    <rPh sb="4" eb="6">
      <t>ジギョウ</t>
    </rPh>
    <rPh sb="6" eb="8">
      <t>シュウエキ</t>
    </rPh>
    <phoneticPr fontId="6"/>
  </si>
  <si>
    <t>受取補助金等</t>
    <rPh sb="0" eb="2">
      <t>ウケトリ</t>
    </rPh>
    <rPh sb="2" eb="5">
      <t>ホジョキン</t>
    </rPh>
    <rPh sb="5" eb="6">
      <t>トウ</t>
    </rPh>
    <phoneticPr fontId="6"/>
  </si>
  <si>
    <t>受取負担金</t>
    <rPh sb="0" eb="2">
      <t>ウケトリ</t>
    </rPh>
    <rPh sb="2" eb="5">
      <t>フタンキン</t>
    </rPh>
    <phoneticPr fontId="6"/>
  </si>
  <si>
    <t>三部会受取負担金</t>
    <rPh sb="0" eb="2">
      <t>サンブ</t>
    </rPh>
    <rPh sb="2" eb="3">
      <t>カイ</t>
    </rPh>
    <rPh sb="3" eb="5">
      <t>ウケトリ</t>
    </rPh>
    <rPh sb="5" eb="8">
      <t>フタンキン</t>
    </rPh>
    <phoneticPr fontId="6"/>
  </si>
  <si>
    <t>雑収益</t>
    <rPh sb="0" eb="3">
      <t>ザツシュウエキ</t>
    </rPh>
    <phoneticPr fontId="6"/>
  </si>
  <si>
    <t>受取利息</t>
    <rPh sb="0" eb="2">
      <t>ウケトリ</t>
    </rPh>
    <rPh sb="2" eb="4">
      <t>リソク</t>
    </rPh>
    <phoneticPr fontId="6"/>
  </si>
  <si>
    <t>【経常収益計】</t>
    <rPh sb="1" eb="3">
      <t>ケイジョウ</t>
    </rPh>
    <rPh sb="3" eb="5">
      <t>シュウエキ</t>
    </rPh>
    <rPh sb="5" eb="6">
      <t>ケイ</t>
    </rPh>
    <phoneticPr fontId="6"/>
  </si>
  <si>
    <t>（２）経常費用</t>
    <rPh sb="3" eb="5">
      <t>ケイジョウ</t>
    </rPh>
    <rPh sb="5" eb="7">
      <t>ヒヨウ</t>
    </rPh>
    <phoneticPr fontId="6"/>
  </si>
  <si>
    <t>事業費</t>
    <rPh sb="0" eb="2">
      <t>ジギョウ</t>
    </rPh>
    <rPh sb="2" eb="3">
      <t>ヒ</t>
    </rPh>
    <phoneticPr fontId="6"/>
  </si>
  <si>
    <t>税の啓発事業費</t>
    <rPh sb="0" eb="1">
      <t>ゼイ</t>
    </rPh>
    <rPh sb="2" eb="4">
      <t>ケイハツ</t>
    </rPh>
    <rPh sb="4" eb="6">
      <t>ジギョウ</t>
    </rPh>
    <rPh sb="6" eb="7">
      <t>ヒ</t>
    </rPh>
    <phoneticPr fontId="6"/>
  </si>
  <si>
    <t>経営支援事業費</t>
    <rPh sb="0" eb="2">
      <t>ケイエイ</t>
    </rPh>
    <rPh sb="2" eb="4">
      <t>シエン</t>
    </rPh>
    <rPh sb="4" eb="6">
      <t>ジギョウ</t>
    </rPh>
    <rPh sb="6" eb="7">
      <t>ヒ</t>
    </rPh>
    <phoneticPr fontId="6"/>
  </si>
  <si>
    <t>地域発展事業費</t>
    <rPh sb="0" eb="2">
      <t>チイキ</t>
    </rPh>
    <rPh sb="2" eb="4">
      <t>ハッテン</t>
    </rPh>
    <rPh sb="4" eb="6">
      <t>ジギョウ</t>
    </rPh>
    <rPh sb="6" eb="7">
      <t>ヒ</t>
    </rPh>
    <phoneticPr fontId="6"/>
  </si>
  <si>
    <t>福利厚生事業費</t>
    <rPh sb="0" eb="2">
      <t>フクリ</t>
    </rPh>
    <rPh sb="2" eb="4">
      <t>コウセイ</t>
    </rPh>
    <rPh sb="4" eb="6">
      <t>ジギョウ</t>
    </rPh>
    <rPh sb="6" eb="7">
      <t>ヒ</t>
    </rPh>
    <phoneticPr fontId="6"/>
  </si>
  <si>
    <t>会員支援事業費</t>
    <rPh sb="0" eb="2">
      <t>カイイン</t>
    </rPh>
    <rPh sb="2" eb="4">
      <t>シエン</t>
    </rPh>
    <rPh sb="4" eb="6">
      <t>ジギョウ</t>
    </rPh>
    <rPh sb="6" eb="7">
      <t>ヒ</t>
    </rPh>
    <phoneticPr fontId="6"/>
  </si>
  <si>
    <t>事業管理費</t>
    <rPh sb="0" eb="2">
      <t>ジギョウ</t>
    </rPh>
    <rPh sb="2" eb="4">
      <t>カンリ</t>
    </rPh>
    <rPh sb="4" eb="5">
      <t>ヒ</t>
    </rPh>
    <phoneticPr fontId="6"/>
  </si>
  <si>
    <t>給与手当</t>
    <rPh sb="0" eb="2">
      <t>キュウヨ</t>
    </rPh>
    <rPh sb="2" eb="4">
      <t>テア</t>
    </rPh>
    <phoneticPr fontId="6"/>
  </si>
  <si>
    <t>退職給付費用</t>
    <rPh sb="0" eb="2">
      <t>タイショク</t>
    </rPh>
    <rPh sb="2" eb="4">
      <t>キュウフ</t>
    </rPh>
    <rPh sb="4" eb="6">
      <t>ヒヨウ</t>
    </rPh>
    <phoneticPr fontId="6"/>
  </si>
  <si>
    <t>福利厚生費</t>
    <rPh sb="0" eb="2">
      <t>フクリ</t>
    </rPh>
    <rPh sb="2" eb="5">
      <t>コウセイヒ</t>
    </rPh>
    <phoneticPr fontId="6"/>
  </si>
  <si>
    <t>旅費交通費</t>
    <rPh sb="0" eb="2">
      <t>リョヒ</t>
    </rPh>
    <rPh sb="2" eb="5">
      <t>コウツウヒ</t>
    </rPh>
    <phoneticPr fontId="6"/>
  </si>
  <si>
    <t>通信運搬費</t>
    <rPh sb="0" eb="2">
      <t>ツウシン</t>
    </rPh>
    <rPh sb="2" eb="4">
      <t>ウンパン</t>
    </rPh>
    <rPh sb="4" eb="5">
      <t>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</si>
  <si>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</si>
  <si>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6"/>
  </si>
  <si>
    <t>消耗品費</t>
    <rPh sb="0" eb="2">
      <t>ショウモウ</t>
    </rPh>
    <rPh sb="2" eb="3">
      <t>ヒン</t>
    </rPh>
    <rPh sb="3" eb="4">
      <t>ヒ</t>
    </rPh>
    <phoneticPr fontId="6"/>
  </si>
  <si>
    <t>修繕費</t>
    <rPh sb="0" eb="3">
      <t>シュウゼンヒ</t>
    </rPh>
    <phoneticPr fontId="6"/>
  </si>
  <si>
    <t>印刷製本費</t>
    <rPh sb="0" eb="2">
      <t>インサツ</t>
    </rPh>
    <rPh sb="2" eb="3">
      <t>セイ</t>
    </rPh>
    <rPh sb="3" eb="4">
      <t>ホン</t>
    </rPh>
    <rPh sb="4" eb="5">
      <t>ヒ</t>
    </rPh>
    <phoneticPr fontId="6"/>
  </si>
  <si>
    <t>燃料費</t>
    <rPh sb="0" eb="3">
      <t>ネンリョウヒ</t>
    </rPh>
    <phoneticPr fontId="6"/>
  </si>
  <si>
    <t>光熱水道費</t>
    <rPh sb="0" eb="1">
      <t>コウ</t>
    </rPh>
    <rPh sb="1" eb="2">
      <t>ネツ</t>
    </rPh>
    <rPh sb="2" eb="4">
      <t>スイドウ</t>
    </rPh>
    <rPh sb="4" eb="5">
      <t>ヒ</t>
    </rPh>
    <phoneticPr fontId="6"/>
  </si>
  <si>
    <t>賃貸料</t>
    <rPh sb="0" eb="2">
      <t>チンタイ</t>
    </rPh>
    <rPh sb="2" eb="3">
      <t>リョウ</t>
    </rPh>
    <phoneticPr fontId="6"/>
  </si>
  <si>
    <t>保険料</t>
    <rPh sb="0" eb="2">
      <t>ホケン</t>
    </rPh>
    <rPh sb="2" eb="3">
      <t>リョウ</t>
    </rPh>
    <phoneticPr fontId="6"/>
  </si>
  <si>
    <t>租税公課</t>
    <rPh sb="0" eb="2">
      <t>ソゼイ</t>
    </rPh>
    <rPh sb="2" eb="4">
      <t>コウカ</t>
    </rPh>
    <phoneticPr fontId="6"/>
  </si>
  <si>
    <t>委託費</t>
    <rPh sb="0" eb="2">
      <t>イタク</t>
    </rPh>
    <rPh sb="2" eb="3">
      <t>ヒ</t>
    </rPh>
    <phoneticPr fontId="6"/>
  </si>
  <si>
    <t>ﾘｰｽ料</t>
    <rPh sb="3" eb="4">
      <t>リョウ</t>
    </rPh>
    <phoneticPr fontId="6"/>
  </si>
  <si>
    <t>図書費</t>
    <rPh sb="0" eb="3">
      <t>トショヒ</t>
    </rPh>
    <phoneticPr fontId="6"/>
  </si>
  <si>
    <t>維持管理費</t>
    <rPh sb="0" eb="2">
      <t>イジ</t>
    </rPh>
    <rPh sb="2" eb="4">
      <t>カンリ</t>
    </rPh>
    <rPh sb="4" eb="5">
      <t>ヒ</t>
    </rPh>
    <phoneticPr fontId="6"/>
  </si>
  <si>
    <t>支払手数料</t>
    <rPh sb="0" eb="2">
      <t>シハライ</t>
    </rPh>
    <rPh sb="2" eb="4">
      <t>テスウ</t>
    </rPh>
    <rPh sb="4" eb="5">
      <t>リョウ</t>
    </rPh>
    <phoneticPr fontId="6"/>
  </si>
  <si>
    <t>雑費</t>
    <rPh sb="0" eb="2">
      <t>ザッピ</t>
    </rPh>
    <phoneticPr fontId="6"/>
  </si>
  <si>
    <t>一般管理費</t>
    <rPh sb="0" eb="2">
      <t>イッパン</t>
    </rPh>
    <rPh sb="2" eb="5">
      <t>カンリヒ</t>
    </rPh>
    <phoneticPr fontId="6"/>
  </si>
  <si>
    <t>会議費</t>
    <rPh sb="0" eb="3">
      <t>カイギヒ</t>
    </rPh>
    <phoneticPr fontId="6"/>
  </si>
  <si>
    <t>渉外慶弔費</t>
    <rPh sb="0" eb="2">
      <t>ショウガイ</t>
    </rPh>
    <rPh sb="2" eb="4">
      <t>ケイチョウ</t>
    </rPh>
    <rPh sb="4" eb="5">
      <t>ヒ</t>
    </rPh>
    <phoneticPr fontId="6"/>
  </si>
  <si>
    <t>表彰費</t>
    <rPh sb="0" eb="2">
      <t>ヒョウショウ</t>
    </rPh>
    <rPh sb="2" eb="3">
      <t>ヒ</t>
    </rPh>
    <phoneticPr fontId="6"/>
  </si>
  <si>
    <t>諸会費</t>
    <rPh sb="0" eb="1">
      <t>ショ</t>
    </rPh>
    <rPh sb="1" eb="3">
      <t>カイヒ</t>
    </rPh>
    <phoneticPr fontId="6"/>
  </si>
  <si>
    <t xml:space="preserve"> 【経常費用計】</t>
    <rPh sb="2" eb="4">
      <t>ケイジョウ</t>
    </rPh>
    <rPh sb="4" eb="6">
      <t>ヒヨウ</t>
    </rPh>
    <rPh sb="6" eb="7">
      <t>ケイ</t>
    </rPh>
    <phoneticPr fontId="6"/>
  </si>
  <si>
    <t xml:space="preserve"> 【当期経常増減額】</t>
    <rPh sb="2" eb="4">
      <t>トウキ</t>
    </rPh>
    <rPh sb="4" eb="6">
      <t>ケイジョウ</t>
    </rPh>
    <rPh sb="6" eb="9">
      <t>ゾウゲンガク</t>
    </rPh>
    <phoneticPr fontId="6"/>
  </si>
  <si>
    <t>当期一般正味財産増減額</t>
    <rPh sb="0" eb="2">
      <t>トウキ</t>
    </rPh>
    <rPh sb="2" eb="4">
      <t>イッパン</t>
    </rPh>
    <rPh sb="4" eb="5">
      <t>ショウ</t>
    </rPh>
    <rPh sb="5" eb="6">
      <t>ミ</t>
    </rPh>
    <rPh sb="6" eb="8">
      <t>ザイサン</t>
    </rPh>
    <rPh sb="8" eb="11">
      <t>ゾウゲンガク</t>
    </rPh>
    <phoneticPr fontId="6"/>
  </si>
  <si>
    <t>一般正味財産期首残高</t>
    <rPh sb="0" eb="2">
      <t>イッパン</t>
    </rPh>
    <rPh sb="2" eb="3">
      <t>ショウ</t>
    </rPh>
    <rPh sb="3" eb="4">
      <t>ミ</t>
    </rPh>
    <rPh sb="4" eb="6">
      <t>ザイサン</t>
    </rPh>
    <rPh sb="6" eb="8">
      <t>キシュ</t>
    </rPh>
    <rPh sb="8" eb="10">
      <t>ザンダカ</t>
    </rPh>
    <phoneticPr fontId="6"/>
  </si>
  <si>
    <t>一般正味財産期末残高</t>
    <rPh sb="0" eb="2">
      <t>イッパン</t>
    </rPh>
    <rPh sb="2" eb="3">
      <t>ショウ</t>
    </rPh>
    <rPh sb="3" eb="4">
      <t>ミ</t>
    </rPh>
    <rPh sb="4" eb="6">
      <t>ザイサン</t>
    </rPh>
    <rPh sb="6" eb="8">
      <t>キマツ</t>
    </rPh>
    <rPh sb="8" eb="10">
      <t>ザンダカ</t>
    </rPh>
    <phoneticPr fontId="6"/>
  </si>
  <si>
    <t>Ⅱ　正味財産期末残高</t>
    <rPh sb="2" eb="3">
      <t>ショウ</t>
    </rPh>
    <rPh sb="3" eb="4">
      <t>ミ</t>
    </rPh>
    <rPh sb="4" eb="6">
      <t>ザイサン</t>
    </rPh>
    <rPh sb="6" eb="8">
      <t>キマツ</t>
    </rPh>
    <rPh sb="8" eb="10">
      <t>ザンダカ</t>
    </rPh>
    <phoneticPr fontId="6"/>
  </si>
  <si>
    <t>特定資産受取利息</t>
    <rPh sb="0" eb="2">
      <t>トクテイ</t>
    </rPh>
    <rPh sb="2" eb="4">
      <t>シサン</t>
    </rPh>
    <rPh sb="4" eb="6">
      <t>ウケトリ</t>
    </rPh>
    <rPh sb="6" eb="8">
      <t>リソク</t>
    </rPh>
    <phoneticPr fontId="6"/>
  </si>
  <si>
    <t>事業管理費</t>
    <rPh sb="0" eb="2">
      <t>ジギョウ</t>
    </rPh>
    <rPh sb="2" eb="5">
      <t>カンリヒ</t>
    </rPh>
    <phoneticPr fontId="6"/>
  </si>
  <si>
    <t>管理費（事業管理費、一般管理費）は従事割合によって按分</t>
    <rPh sb="0" eb="2">
      <t>カンリ</t>
    </rPh>
    <rPh sb="2" eb="3">
      <t>ヒ</t>
    </rPh>
    <rPh sb="4" eb="6">
      <t>ジギョウ</t>
    </rPh>
    <rPh sb="6" eb="8">
      <t>カンリ</t>
    </rPh>
    <rPh sb="8" eb="9">
      <t>ヒ</t>
    </rPh>
    <rPh sb="10" eb="12">
      <t>イッパン</t>
    </rPh>
    <rPh sb="12" eb="14">
      <t>カンリ</t>
    </rPh>
    <rPh sb="14" eb="15">
      <t>ヒ</t>
    </rPh>
    <rPh sb="17" eb="19">
      <t>ジュウジ</t>
    </rPh>
    <rPh sb="19" eb="21">
      <t>ワリアイ</t>
    </rPh>
    <rPh sb="25" eb="27">
      <t>アンブン</t>
    </rPh>
    <phoneticPr fontId="6"/>
  </si>
  <si>
    <t>公益</t>
    <rPh sb="0" eb="2">
      <t>コウエキ</t>
    </rPh>
    <phoneticPr fontId="6"/>
  </si>
  <si>
    <t>合計</t>
    <rPh sb="0" eb="2">
      <t>ゴウケイ</t>
    </rPh>
    <phoneticPr fontId="6"/>
  </si>
  <si>
    <t>公益目的事業比率</t>
    <rPh sb="0" eb="2">
      <t>コウエキ</t>
    </rPh>
    <rPh sb="2" eb="4">
      <t>モクテキ</t>
    </rPh>
    <rPh sb="4" eb="6">
      <t>ジギョウ</t>
    </rPh>
    <rPh sb="6" eb="8">
      <t>ヒリツ</t>
    </rPh>
    <phoneticPr fontId="6"/>
  </si>
  <si>
    <t>＝</t>
    <phoneticPr fontId="2"/>
  </si>
  <si>
    <t>／</t>
    <phoneticPr fontId="2"/>
  </si>
  <si>
    <t>3％</t>
    <phoneticPr fontId="2"/>
  </si>
  <si>
    <t>公1-1</t>
    <rPh sb="0" eb="1">
      <t>コウ</t>
    </rPh>
    <phoneticPr fontId="2"/>
  </si>
  <si>
    <t>公1-2</t>
    <rPh sb="0" eb="1">
      <t>コウ</t>
    </rPh>
    <phoneticPr fontId="2"/>
  </si>
  <si>
    <t>公1-3</t>
    <rPh sb="0" eb="1">
      <t>コウ</t>
    </rPh>
    <phoneticPr fontId="2"/>
  </si>
  <si>
    <t>公2</t>
    <rPh sb="0" eb="1">
      <t>コウ</t>
    </rPh>
    <phoneticPr fontId="2"/>
  </si>
  <si>
    <t>公3</t>
    <rPh sb="0" eb="1">
      <t>コウ</t>
    </rPh>
    <phoneticPr fontId="2"/>
  </si>
  <si>
    <t>共益</t>
    <rPh sb="0" eb="2">
      <t>キョウエキ</t>
    </rPh>
    <phoneticPr fontId="2"/>
  </si>
  <si>
    <t>法人会計</t>
    <rPh sb="0" eb="2">
      <t>ホウジン</t>
    </rPh>
    <rPh sb="2" eb="4">
      <t>カイケイ</t>
    </rPh>
    <phoneticPr fontId="2"/>
  </si>
  <si>
    <t>一般会費</t>
    <rPh sb="0" eb="2">
      <t>イッパン</t>
    </rPh>
    <rPh sb="2" eb="4">
      <t>カイヒ</t>
    </rPh>
    <phoneticPr fontId="2"/>
  </si>
  <si>
    <t>助成金A</t>
    <rPh sb="0" eb="3">
      <t>ジョセイキン</t>
    </rPh>
    <phoneticPr fontId="2"/>
  </si>
  <si>
    <r>
      <t>報奨金　</t>
    </r>
    <r>
      <rPr>
        <sz val="9"/>
        <color theme="1"/>
        <rFont val="ＭＳ Ｐゴシック"/>
        <family val="3"/>
        <charset val="128"/>
        <scheme val="minor"/>
      </rPr>
      <t>(雑収入)</t>
    </r>
    <rPh sb="0" eb="3">
      <t>ホウショウキン</t>
    </rPh>
    <rPh sb="5" eb="8">
      <t>ザッシュウニュウ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</si>
  <si>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未納退会額</t>
    </r>
    <r>
      <rPr>
        <sz val="9"/>
        <color theme="1"/>
        <rFont val="ＭＳ Ｐゴシック"/>
        <family val="3"/>
        <charset val="128"/>
        <scheme val="minor"/>
      </rPr>
      <t>(雑費)</t>
    </r>
    <rPh sb="0" eb="2">
      <t>ミノウ</t>
    </rPh>
    <rPh sb="2" eb="4">
      <t>タイカイ</t>
    </rPh>
    <rPh sb="4" eb="5">
      <t>ガク</t>
    </rPh>
    <rPh sb="6" eb="8">
      <t>ザッピ</t>
    </rPh>
    <phoneticPr fontId="2"/>
  </si>
  <si>
    <t>従事割合は　公益事業：68％、収益事業：3％、共益事業：14％、法人会計：15％</t>
    <phoneticPr fontId="6"/>
  </si>
  <si>
    <t>貸倒損失</t>
    <rPh sb="0" eb="2">
      <t>カシダオレ</t>
    </rPh>
    <rPh sb="2" eb="4">
      <t>ソンシツ</t>
    </rPh>
    <phoneticPr fontId="2"/>
  </si>
  <si>
    <t>貸倒引当金繰入</t>
    <rPh sb="0" eb="2">
      <t>カシダオレ</t>
    </rPh>
    <rPh sb="2" eb="4">
      <t>ヒキアテ</t>
    </rPh>
    <rPh sb="4" eb="5">
      <t>キン</t>
    </rPh>
    <rPh sb="5" eb="7">
      <t>クリイレ</t>
    </rPh>
    <phoneticPr fontId="2"/>
  </si>
  <si>
    <t>全法連助成金</t>
    <rPh sb="0" eb="1">
      <t>ゼン</t>
    </rPh>
    <rPh sb="1" eb="2">
      <t>ホウ</t>
    </rPh>
    <rPh sb="2" eb="3">
      <t>レン</t>
    </rPh>
    <rPh sb="3" eb="6">
      <t>ジョセイキン</t>
    </rPh>
    <phoneticPr fontId="6"/>
  </si>
  <si>
    <t>受取全法連助成金</t>
    <rPh sb="0" eb="2">
      <t>ウケトリ</t>
    </rPh>
    <rPh sb="2" eb="3">
      <t>ゼン</t>
    </rPh>
    <rPh sb="3" eb="4">
      <t>ホウ</t>
    </rPh>
    <rPh sb="4" eb="5">
      <t>レン</t>
    </rPh>
    <rPh sb="5" eb="8">
      <t>ジョセイキン</t>
    </rPh>
    <phoneticPr fontId="6"/>
  </si>
  <si>
    <t>受取全法連助成金(B)</t>
    <rPh sb="0" eb="2">
      <t>ウケトリ</t>
    </rPh>
    <rPh sb="2" eb="3">
      <t>ゼン</t>
    </rPh>
    <rPh sb="3" eb="4">
      <t>ホウ</t>
    </rPh>
    <rPh sb="4" eb="5">
      <t>レン</t>
    </rPh>
    <rPh sb="5" eb="8">
      <t>ジョセイキン</t>
    </rPh>
    <phoneticPr fontId="2"/>
  </si>
  <si>
    <t>受取全法連補助金</t>
    <rPh sb="0" eb="2">
      <t>ウケトリ</t>
    </rPh>
    <rPh sb="2" eb="3">
      <t>ゼン</t>
    </rPh>
    <rPh sb="3" eb="4">
      <t>ホウ</t>
    </rPh>
    <rPh sb="4" eb="5">
      <t>レン</t>
    </rPh>
    <rPh sb="5" eb="8">
      <t>ホジョキン</t>
    </rPh>
    <phoneticPr fontId="6"/>
  </si>
  <si>
    <t>受取県連補助金</t>
    <rPh sb="0" eb="2">
      <t>ウケトリ</t>
    </rPh>
    <rPh sb="2" eb="3">
      <t>ケン</t>
    </rPh>
    <rPh sb="3" eb="4">
      <t>レン</t>
    </rPh>
    <rPh sb="4" eb="7">
      <t>ホジョキン</t>
    </rPh>
    <phoneticPr fontId="2"/>
  </si>
  <si>
    <t>受取寄付金</t>
    <rPh sb="0" eb="2">
      <t>ウケトリ</t>
    </rPh>
    <rPh sb="2" eb="5">
      <t>キフキン</t>
    </rPh>
    <phoneticPr fontId="6"/>
  </si>
  <si>
    <t>　　※ただし、「貸倒損失」「貸倒引当金繰入」は一般会費と同様の按分とする。</t>
    <phoneticPr fontId="2"/>
  </si>
  <si>
    <t>県連補助金</t>
    <rPh sb="0" eb="2">
      <t>ケンレン</t>
    </rPh>
    <rPh sb="2" eb="5">
      <t>ホジョキン</t>
    </rPh>
    <phoneticPr fontId="2"/>
  </si>
  <si>
    <t>全法連助成金(B)</t>
    <rPh sb="0" eb="1">
      <t>ゼン</t>
    </rPh>
    <rPh sb="1" eb="2">
      <t>ホウ</t>
    </rPh>
    <rPh sb="2" eb="3">
      <t>レン</t>
    </rPh>
    <rPh sb="3" eb="6">
      <t>ジョセイキン</t>
    </rPh>
    <phoneticPr fontId="6"/>
  </si>
  <si>
    <t>全法連補助金</t>
    <rPh sb="0" eb="1">
      <t>ゼン</t>
    </rPh>
    <rPh sb="1" eb="2">
      <t>ホウ</t>
    </rPh>
    <rPh sb="2" eb="3">
      <t>レン</t>
    </rPh>
    <rPh sb="3" eb="6">
      <t>ホジョキン</t>
    </rPh>
    <phoneticPr fontId="6"/>
  </si>
  <si>
    <t>公益</t>
  </si>
  <si>
    <t>収益</t>
  </si>
  <si>
    <t>共益</t>
  </si>
  <si>
    <t>法人会計</t>
  </si>
  <si>
    <t>管理費</t>
  </si>
  <si>
    <t>給与手当</t>
  </si>
  <si>
    <t>雑給</t>
  </si>
  <si>
    <t>退職給付費用</t>
  </si>
  <si>
    <t>福利厚生費</t>
  </si>
  <si>
    <t>会議費</t>
  </si>
  <si>
    <t>旅費交通費</t>
  </si>
  <si>
    <t>通信運搬費</t>
  </si>
  <si>
    <t>減価償却費</t>
  </si>
  <si>
    <t>消耗什器備品費</t>
  </si>
  <si>
    <t>消耗品費</t>
  </si>
  <si>
    <t>修繕費</t>
  </si>
  <si>
    <t>印刷製本費</t>
  </si>
  <si>
    <t>燃料費</t>
  </si>
  <si>
    <t>光熱水道費</t>
  </si>
  <si>
    <t>賃貸料</t>
  </si>
  <si>
    <t>保険料</t>
  </si>
  <si>
    <t>租税公課</t>
  </si>
  <si>
    <t>委託費</t>
  </si>
  <si>
    <t>渉外慶弔費</t>
  </si>
  <si>
    <t>表彰費</t>
  </si>
  <si>
    <t>ﾘｰｽ料</t>
  </si>
  <si>
    <t>諸会費</t>
  </si>
  <si>
    <t>図書費</t>
  </si>
  <si>
    <t>維持管理費</t>
  </si>
  <si>
    <t>支払手数料</t>
  </si>
  <si>
    <t>貸倒損失</t>
  </si>
  <si>
    <t>雑費</t>
  </si>
  <si>
    <t>合計</t>
  </si>
  <si>
    <t>　　※ただし、「貸倒損失」「貸倒引当金繰入」は一般会費と同様の按分とする。</t>
  </si>
  <si>
    <t>雑給</t>
    <rPh sb="0" eb="2">
      <t>ザッキュウ</t>
    </rPh>
    <phoneticPr fontId="6"/>
  </si>
  <si>
    <t>会議費</t>
    <rPh sb="0" eb="2">
      <t>カイギ</t>
    </rPh>
    <rPh sb="2" eb="3">
      <t>ヒ</t>
    </rPh>
    <phoneticPr fontId="2"/>
  </si>
  <si>
    <t>旅費交通費</t>
    <rPh sb="0" eb="2">
      <t>リョヒ</t>
    </rPh>
    <rPh sb="2" eb="5">
      <t>コウツウヒ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</si>
  <si>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</si>
  <si>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</si>
  <si>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</si>
  <si>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諸謝金</t>
    <rPh sb="0" eb="3">
      <t>ショシャキン</t>
    </rPh>
    <phoneticPr fontId="2"/>
  </si>
  <si>
    <t>支払負担金</t>
    <rPh sb="0" eb="2">
      <t>シハライ</t>
    </rPh>
    <rPh sb="2" eb="5">
      <t>フタンキン</t>
    </rPh>
    <phoneticPr fontId="2"/>
  </si>
  <si>
    <t>委託費</t>
    <rPh sb="0" eb="2">
      <t>イタク</t>
    </rPh>
    <rPh sb="2" eb="3">
      <t>ヒ</t>
    </rPh>
    <phoneticPr fontId="2"/>
  </si>
  <si>
    <t>会場費</t>
    <rPh sb="0" eb="2">
      <t>カイジョウ</t>
    </rPh>
    <rPh sb="2" eb="3">
      <t>ヒ</t>
    </rPh>
    <phoneticPr fontId="2"/>
  </si>
  <si>
    <t>図書費</t>
    <rPh sb="0" eb="3">
      <t>トショヒ</t>
    </rPh>
    <phoneticPr fontId="2"/>
  </si>
  <si>
    <t>維持管理費</t>
    <rPh sb="0" eb="2">
      <t>イジ</t>
    </rPh>
    <rPh sb="2" eb="5">
      <t>カンリヒ</t>
    </rPh>
    <phoneticPr fontId="2"/>
  </si>
  <si>
    <t>支払手数料</t>
    <rPh sb="0" eb="2">
      <t>シハライ</t>
    </rPh>
    <rPh sb="2" eb="5">
      <t>テスウリョウ</t>
    </rPh>
    <phoneticPr fontId="2"/>
  </si>
  <si>
    <t>雑費</t>
    <rPh sb="0" eb="2">
      <t>ザッピ</t>
    </rPh>
    <phoneticPr fontId="2"/>
  </si>
  <si>
    <t>支払寄附金</t>
    <rPh sb="0" eb="2">
      <t>シハライ</t>
    </rPh>
    <rPh sb="2" eb="5">
      <t>キフキン</t>
    </rPh>
    <phoneticPr fontId="2"/>
  </si>
  <si>
    <t>親睦会費</t>
    <rPh sb="0" eb="2">
      <t>シンボク</t>
    </rPh>
    <rPh sb="2" eb="3">
      <t>カイ</t>
    </rPh>
    <rPh sb="3" eb="4">
      <t>ヒ</t>
    </rPh>
    <phoneticPr fontId="2"/>
  </si>
  <si>
    <t>（</t>
    <phoneticPr fontId="2"/>
  </si>
  <si>
    <t>）</t>
    <phoneticPr fontId="2"/>
  </si>
  <si>
    <t>雑給</t>
    <rPh sb="0" eb="2">
      <t>ザッキュウ</t>
    </rPh>
    <phoneticPr fontId="2"/>
  </si>
  <si>
    <t>30％</t>
    <phoneticPr fontId="2"/>
  </si>
  <si>
    <t>20％</t>
    <phoneticPr fontId="2"/>
  </si>
  <si>
    <t>利息</t>
    <rPh sb="0" eb="2">
      <t>リソク</t>
    </rPh>
    <phoneticPr fontId="2"/>
  </si>
  <si>
    <t>23.8％</t>
    <phoneticPr fontId="2"/>
  </si>
  <si>
    <t>39.8％</t>
    <phoneticPr fontId="2"/>
  </si>
  <si>
    <t>保険料</t>
    <rPh sb="0" eb="3">
      <t>ホケンリョウ</t>
    </rPh>
    <phoneticPr fontId="2"/>
  </si>
  <si>
    <t>(</t>
    <phoneticPr fontId="2"/>
  </si>
  <si>
    <t>)</t>
    <phoneticPr fontId="2"/>
  </si>
  <si>
    <t>I　一般正味財産増減の部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6"/>
  </si>
  <si>
    <t>公１</t>
    <rPh sb="0" eb="1">
      <t>コウ</t>
    </rPh>
    <phoneticPr fontId="6"/>
  </si>
  <si>
    <t>12.65％</t>
    <phoneticPr fontId="2"/>
  </si>
  <si>
    <t>24.65％</t>
    <phoneticPr fontId="2"/>
  </si>
  <si>
    <t>7.65％</t>
    <phoneticPr fontId="2"/>
  </si>
  <si>
    <t>2.05％</t>
    <phoneticPr fontId="2"/>
  </si>
  <si>
    <t>公１計</t>
    <rPh sb="0" eb="1">
      <t>コウ</t>
    </rPh>
    <rPh sb="2" eb="3">
      <t>ケイ</t>
    </rPh>
    <phoneticPr fontId="2"/>
  </si>
  <si>
    <t>合計</t>
    <rPh sb="0" eb="2">
      <t>ゴウケイ</t>
    </rPh>
    <phoneticPr fontId="2"/>
  </si>
  <si>
    <t>（自　令和5年4月1日　　至　令和6年3月31日）</t>
    <rPh sb="1" eb="2">
      <t>ジ</t>
    </rPh>
    <rPh sb="3" eb="5">
      <t>レイワ</t>
    </rPh>
    <rPh sb="6" eb="7">
      <t>ネン</t>
    </rPh>
    <rPh sb="7" eb="8">
      <t>ヘイネン</t>
    </rPh>
    <rPh sb="8" eb="9">
      <t>ガツ</t>
    </rPh>
    <rPh sb="10" eb="11">
      <t>ニチ</t>
    </rPh>
    <rPh sb="13" eb="14">
      <t>イタル</t>
    </rPh>
    <rPh sb="15" eb="17">
      <t>レイワ</t>
    </rPh>
    <rPh sb="18" eb="19">
      <t>ネン</t>
    </rPh>
    <rPh sb="19" eb="20">
      <t>ヘイネン</t>
    </rPh>
    <rPh sb="20" eb="21">
      <t>ガツ</t>
    </rPh>
    <rPh sb="23" eb="24">
      <t>ニチ</t>
    </rPh>
    <phoneticPr fontId="6"/>
  </si>
  <si>
    <t>令和5年度　正味財産増減計算書予算書（案）</t>
    <rPh sb="0" eb="2">
      <t>レイワ</t>
    </rPh>
    <rPh sb="3" eb="5">
      <t>ネンド</t>
    </rPh>
    <rPh sb="6" eb="7">
      <t>ショウ</t>
    </rPh>
    <rPh sb="7" eb="8">
      <t>ミ</t>
    </rPh>
    <rPh sb="8" eb="10">
      <t>ザイサン</t>
    </rPh>
    <rPh sb="10" eb="12">
      <t>ゾウゲン</t>
    </rPh>
    <rPh sb="12" eb="14">
      <t>ケイサン</t>
    </rPh>
    <rPh sb="14" eb="15">
      <t>ショ</t>
    </rPh>
    <rPh sb="15" eb="17">
      <t>ヨサン</t>
    </rPh>
    <rPh sb="17" eb="18">
      <t>ショ</t>
    </rPh>
    <rPh sb="19" eb="20">
      <t>アン</t>
    </rPh>
    <phoneticPr fontId="6"/>
  </si>
  <si>
    <t>令和5年度予算案　公益目的事業の管理費計算</t>
    <rPh sb="0" eb="2">
      <t>レイワ</t>
    </rPh>
    <rPh sb="3" eb="5">
      <t>ネンド</t>
    </rPh>
    <phoneticPr fontId="6"/>
  </si>
  <si>
    <t>16.7％</t>
    <phoneticPr fontId="2"/>
  </si>
  <si>
    <t>12.9％</t>
    <phoneticPr fontId="2"/>
  </si>
  <si>
    <t>公１</t>
    <rPh sb="0" eb="1">
      <t>コウ</t>
    </rPh>
    <phoneticPr fontId="2"/>
  </si>
  <si>
    <t>会議費</t>
    <rPh sb="0" eb="3">
      <t>カイギヒ</t>
    </rPh>
    <phoneticPr fontId="2"/>
  </si>
  <si>
    <t>旅費交通費</t>
    <rPh sb="0" eb="5">
      <t>リョヒコウツウヒ</t>
    </rPh>
    <phoneticPr fontId="2"/>
  </si>
  <si>
    <t>通信運搬費</t>
    <rPh sb="0" eb="5">
      <t>ツウシンウンパンヒ</t>
    </rPh>
    <phoneticPr fontId="2"/>
  </si>
  <si>
    <t>消耗品費</t>
    <rPh sb="0" eb="4">
      <t>ショウモウヒンヒ</t>
    </rPh>
    <phoneticPr fontId="2"/>
  </si>
  <si>
    <t>印刷製本費</t>
    <rPh sb="0" eb="2">
      <t>インサツ</t>
    </rPh>
    <rPh sb="2" eb="5">
      <t>セイホンヒ</t>
    </rPh>
    <phoneticPr fontId="2"/>
  </si>
  <si>
    <t>諸謝金</t>
    <rPh sb="0" eb="1">
      <t>ショ</t>
    </rPh>
    <rPh sb="1" eb="3">
      <t>シャキン</t>
    </rPh>
    <phoneticPr fontId="2"/>
  </si>
  <si>
    <t>委託費</t>
    <rPh sb="0" eb="3">
      <t>イタクヒ</t>
    </rPh>
    <phoneticPr fontId="2"/>
  </si>
  <si>
    <t>会場費</t>
    <rPh sb="0" eb="3">
      <t>カイジョウヒ</t>
    </rPh>
    <phoneticPr fontId="2"/>
  </si>
  <si>
    <t>維持管理費</t>
    <rPh sb="0" eb="5">
      <t>イジカンリヒ</t>
    </rPh>
    <phoneticPr fontId="2"/>
  </si>
  <si>
    <t>公１-1</t>
    <rPh sb="0" eb="1">
      <t>コウ</t>
    </rPh>
    <phoneticPr fontId="2"/>
  </si>
  <si>
    <t>寄付</t>
    <rPh sb="0" eb="2">
      <t>キフ</t>
    </rPh>
    <phoneticPr fontId="2"/>
  </si>
  <si>
    <t>親睦会費</t>
    <rPh sb="0" eb="4">
      <t>シンボクカイヒ</t>
    </rPh>
    <phoneticPr fontId="2"/>
  </si>
  <si>
    <t>公2(経営者支援事業）</t>
    <rPh sb="0" eb="1">
      <t>コウ</t>
    </rPh>
    <rPh sb="3" eb="6">
      <t>ケイエイシャ</t>
    </rPh>
    <rPh sb="6" eb="8">
      <t>シエン</t>
    </rPh>
    <rPh sb="8" eb="10">
      <t>ジギョウ</t>
    </rPh>
    <phoneticPr fontId="2"/>
  </si>
  <si>
    <t>公3（地域発展事業）</t>
    <rPh sb="0" eb="1">
      <t>コウ</t>
    </rPh>
    <rPh sb="3" eb="5">
      <t>チイキ</t>
    </rPh>
    <rPh sb="5" eb="7">
      <t>ハッテン</t>
    </rPh>
    <rPh sb="7" eb="9">
      <t>ジギョウ</t>
    </rPh>
    <phoneticPr fontId="2"/>
  </si>
  <si>
    <t>経費不突合</t>
    <rPh sb="0" eb="2">
      <t>ケイヒ</t>
    </rPh>
    <rPh sb="2" eb="5">
      <t>フトツゴウ</t>
    </rPh>
    <phoneticPr fontId="2"/>
  </si>
  <si>
    <t>収入不突合</t>
    <rPh sb="0" eb="2">
      <t>シュウニュウ</t>
    </rPh>
    <rPh sb="2" eb="5">
      <t>フトツゴウ</t>
    </rPh>
    <phoneticPr fontId="2"/>
  </si>
  <si>
    <t>（明細）</t>
    <rPh sb="1" eb="3">
      <t>メイサイ</t>
    </rPh>
    <phoneticPr fontId="2"/>
  </si>
  <si>
    <t>管理費計</t>
    <rPh sb="0" eb="3">
      <t>カンリヒ</t>
    </rPh>
    <rPh sb="3" eb="4">
      <t>ケイ</t>
    </rPh>
    <phoneticPr fontId="2"/>
  </si>
  <si>
    <t>給与</t>
    <rPh sb="0" eb="2">
      <t>キュウヨ</t>
    </rPh>
    <phoneticPr fontId="2"/>
  </si>
  <si>
    <t>退職給付費用</t>
    <rPh sb="0" eb="4">
      <t>タイショクキュウフ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</si>
  <si>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</si>
  <si>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通信運搬費</t>
    <rPh sb="0" eb="2">
      <t>ツウシン</t>
    </rPh>
    <rPh sb="2" eb="5">
      <t>ウンパンヒ</t>
    </rPh>
    <phoneticPr fontId="2"/>
  </si>
  <si>
    <t>減価償却費</t>
    <rPh sb="0" eb="5">
      <t>ゲンカショウキャクヒ</t>
    </rPh>
    <phoneticPr fontId="2"/>
  </si>
  <si>
    <t>消耗什器備品</t>
    <rPh sb="0" eb="2">
      <t>ショウモウ</t>
    </rPh>
    <rPh sb="2" eb="6">
      <t>ジュウキビヒン</t>
    </rPh>
    <phoneticPr fontId="2"/>
  </si>
  <si>
    <t>修繕費</t>
    <rPh sb="0" eb="3">
      <t>シュウゼンヒ</t>
    </rPh>
    <phoneticPr fontId="2"/>
  </si>
  <si>
    <t>印刷製本</t>
    <rPh sb="0" eb="2">
      <t>インサツ</t>
    </rPh>
    <rPh sb="2" eb="4">
      <t>セイホン</t>
    </rPh>
    <phoneticPr fontId="2"/>
  </si>
  <si>
    <t>水道光熱費</t>
    <rPh sb="0" eb="2">
      <t>スイドウ</t>
    </rPh>
    <rPh sb="2" eb="5">
      <t>コウネツヒ</t>
    </rPh>
    <phoneticPr fontId="2"/>
  </si>
  <si>
    <t>賃借料</t>
    <rPh sb="0" eb="3">
      <t>チンシャクリョウ</t>
    </rPh>
    <phoneticPr fontId="2"/>
  </si>
  <si>
    <t>租税公課</t>
    <rPh sb="0" eb="4">
      <t>ソゼイコウカ</t>
    </rPh>
    <phoneticPr fontId="2"/>
  </si>
  <si>
    <t>渉外慶弔費</t>
    <rPh sb="0" eb="2">
      <t>ショウガイ</t>
    </rPh>
    <rPh sb="2" eb="5">
      <t>ケイチョウヒ</t>
    </rPh>
    <phoneticPr fontId="2"/>
  </si>
  <si>
    <t>表彰費</t>
    <rPh sb="0" eb="3">
      <t>ヒョウショウヒ</t>
    </rPh>
    <phoneticPr fontId="2"/>
  </si>
  <si>
    <t>リース料</t>
    <rPh sb="3" eb="4">
      <t>リョウ</t>
    </rPh>
    <phoneticPr fontId="2"/>
  </si>
  <si>
    <t>諸会費</t>
    <rPh sb="0" eb="3">
      <t>ショカイヒ</t>
    </rPh>
    <phoneticPr fontId="2"/>
  </si>
  <si>
    <t>貸倒引当金繰入</t>
    <rPh sb="0" eb="2">
      <t>カシダオレ</t>
    </rPh>
    <rPh sb="2" eb="5">
      <t>ヒキアテキン</t>
    </rPh>
    <rPh sb="5" eb="7">
      <t>クリイレ</t>
    </rPh>
    <phoneticPr fontId="2"/>
  </si>
  <si>
    <t>支払負担金</t>
    <rPh sb="0" eb="5">
      <t>シハライフタンキン</t>
    </rPh>
    <phoneticPr fontId="2"/>
  </si>
  <si>
    <t>会員増強副賞</t>
    <rPh sb="0" eb="2">
      <t>カイイン</t>
    </rPh>
    <rPh sb="2" eb="4">
      <t>ゾウキョウ</t>
    </rPh>
    <rPh sb="4" eb="6">
      <t>フクショウ</t>
    </rPh>
    <phoneticPr fontId="2"/>
  </si>
  <si>
    <t>6.8％</t>
    <phoneticPr fontId="2"/>
  </si>
  <si>
    <t>令和6年度　正味財産増減計算書予算書（案）</t>
    <rPh sb="0" eb="2">
      <t>レイワ</t>
    </rPh>
    <rPh sb="3" eb="5">
      <t>ネンド</t>
    </rPh>
    <rPh sb="6" eb="7">
      <t>ショウ</t>
    </rPh>
    <rPh sb="7" eb="8">
      <t>ミ</t>
    </rPh>
    <rPh sb="8" eb="10">
      <t>ザイサン</t>
    </rPh>
    <rPh sb="10" eb="12">
      <t>ゾウゲン</t>
    </rPh>
    <rPh sb="12" eb="14">
      <t>ケイサン</t>
    </rPh>
    <rPh sb="14" eb="15">
      <t>ショ</t>
    </rPh>
    <rPh sb="15" eb="17">
      <t>ヨサン</t>
    </rPh>
    <rPh sb="17" eb="18">
      <t>ショ</t>
    </rPh>
    <rPh sb="19" eb="20">
      <t>アン</t>
    </rPh>
    <phoneticPr fontId="6"/>
  </si>
  <si>
    <t>（自　令和6年4月1日　　至　令和7年3月31日）</t>
    <rPh sb="1" eb="2">
      <t>ジ</t>
    </rPh>
    <rPh sb="3" eb="5">
      <t>レイワ</t>
    </rPh>
    <rPh sb="6" eb="7">
      <t>ネン</t>
    </rPh>
    <rPh sb="7" eb="8">
      <t>ヘイネン</t>
    </rPh>
    <rPh sb="8" eb="9">
      <t>ガツ</t>
    </rPh>
    <rPh sb="10" eb="11">
      <t>ニチ</t>
    </rPh>
    <rPh sb="13" eb="14">
      <t>イタル</t>
    </rPh>
    <rPh sb="15" eb="17">
      <t>レイワ</t>
    </rPh>
    <rPh sb="18" eb="19">
      <t>ネン</t>
    </rPh>
    <rPh sb="19" eb="20">
      <t>ヘイネン</t>
    </rPh>
    <rPh sb="20" eb="21">
      <t>ガツ</t>
    </rPh>
    <rPh sb="23" eb="24">
      <t>ニチ</t>
    </rPh>
    <phoneticPr fontId="6"/>
  </si>
  <si>
    <t>令和6年度予算案　事業費の管理費計算</t>
    <rPh sb="0" eb="2">
      <t>レイワ</t>
    </rPh>
    <rPh sb="3" eb="5">
      <t>ネンド</t>
    </rPh>
    <phoneticPr fontId="2"/>
  </si>
  <si>
    <t>令和6年度予算案　公益目的事業の管理費計算</t>
    <rPh sb="0" eb="2">
      <t>レイワ</t>
    </rPh>
    <rPh sb="3" eb="5">
      <t>ネンド</t>
    </rPh>
    <phoneticPr fontId="6"/>
  </si>
  <si>
    <t>令和6年度予算案　会費と助成金の按分</t>
    <rPh sb="0" eb="2">
      <t>レイワ</t>
    </rPh>
    <rPh sb="3" eb="5">
      <t>ネンド</t>
    </rPh>
    <rPh sb="5" eb="7">
      <t>ヨサン</t>
    </rPh>
    <rPh sb="7" eb="8">
      <t>アン</t>
    </rPh>
    <rPh sb="9" eb="11">
      <t>カイヒ</t>
    </rPh>
    <rPh sb="12" eb="15">
      <t>ジョセイキン</t>
    </rPh>
    <rPh sb="16" eb="18">
      <t>アンブン</t>
    </rPh>
    <phoneticPr fontId="2"/>
  </si>
  <si>
    <t>令和7年度　正味財産増減計算書予算書（案）</t>
    <rPh sb="0" eb="2">
      <t>レイワ</t>
    </rPh>
    <rPh sb="3" eb="5">
      <t>ネンド</t>
    </rPh>
    <rPh sb="6" eb="7">
      <t>ショウ</t>
    </rPh>
    <rPh sb="7" eb="8">
      <t>ミ</t>
    </rPh>
    <rPh sb="8" eb="10">
      <t>ザイサン</t>
    </rPh>
    <rPh sb="10" eb="12">
      <t>ゾウゲン</t>
    </rPh>
    <rPh sb="12" eb="14">
      <t>ケイサン</t>
    </rPh>
    <rPh sb="14" eb="15">
      <t>ショ</t>
    </rPh>
    <rPh sb="15" eb="17">
      <t>ヨサン</t>
    </rPh>
    <rPh sb="17" eb="18">
      <t>ショ</t>
    </rPh>
    <rPh sb="19" eb="20">
      <t>アン</t>
    </rPh>
    <phoneticPr fontId="6"/>
  </si>
  <si>
    <t>（自　令和7年4月1日　　至　令和8年3月31日）</t>
    <rPh sb="1" eb="2">
      <t>ジ</t>
    </rPh>
    <rPh sb="3" eb="5">
      <t>レイワ</t>
    </rPh>
    <rPh sb="6" eb="7">
      <t>ネン</t>
    </rPh>
    <rPh sb="7" eb="8">
      <t>ヘイネン</t>
    </rPh>
    <rPh sb="8" eb="9">
      <t>ガツ</t>
    </rPh>
    <rPh sb="10" eb="11">
      <t>ニチ</t>
    </rPh>
    <rPh sb="13" eb="14">
      <t>イタル</t>
    </rPh>
    <rPh sb="15" eb="17">
      <t>レイワ</t>
    </rPh>
    <rPh sb="18" eb="19">
      <t>ネン</t>
    </rPh>
    <rPh sb="19" eb="20">
      <t>ヘイネン</t>
    </rPh>
    <rPh sb="20" eb="21">
      <t>ガツ</t>
    </rPh>
    <rPh sb="23" eb="24">
      <t>ニチ</t>
    </rPh>
    <phoneticPr fontId="6"/>
  </si>
  <si>
    <t>令和7年度　正味財産増減計算書予算書</t>
    <rPh sb="0" eb="2">
      <t>レイワ</t>
    </rPh>
    <rPh sb="3" eb="5">
      <t>ネンド</t>
    </rPh>
    <rPh sb="6" eb="7">
      <t>ショウ</t>
    </rPh>
    <rPh sb="7" eb="8">
      <t>ミ</t>
    </rPh>
    <rPh sb="8" eb="10">
      <t>ザイサン</t>
    </rPh>
    <rPh sb="10" eb="12">
      <t>ゾウゲン</t>
    </rPh>
    <rPh sb="12" eb="14">
      <t>ケイサン</t>
    </rPh>
    <rPh sb="14" eb="15">
      <t>ショ</t>
    </rPh>
    <rPh sb="15" eb="17">
      <t>ヨサン</t>
    </rPh>
    <rPh sb="17" eb="18">
      <t>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</si>
</sst>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_ ;[Red]\-#,##0\ "/>
    <numFmt numFmtId="178" formatCode="0.0%"/>
    <numFmt numFmtId="179" formatCode="#,##0_ "/>
    <numFmt numFmtId="180" formatCode="#,##0_);[Red]\(#,##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HGP明朝B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8" tint="0.59999389629810485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  <font>
      <sz val="11"/>
      <color theme="5" tint="-0.249977111117893"/>
      <name val="ＭＳ Ｐゴシック"/>
      <family val="2"/>
      <charset val="128"/>
      <scheme val="minor"/>
    </font>
    <font>
      <sz val="10"/>
      <color theme="5" tint="-0.249977111117893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38" fontId="3" fillId="0" borderId="0" xfId="2" applyFont="1">
      <alignment vertical="center"/>
    </xf>
    <xf numFmtId="38" fontId="1" fillId="0" borderId="0" xfId="2">
      <alignment vertical="center"/>
    </xf>
    <xf numFmtId="38" fontId="4" fillId="0" borderId="0" xfId="2" applyFont="1" applyBorder="1" applyAlignment="1">
      <alignment vertical="center" textRotation="255"/>
    </xf>
    <xf numFmtId="38" fontId="1" fillId="0" borderId="0" xfId="2" applyBorder="1" applyAlignment="1">
      <alignment vertical="center"/>
    </xf>
    <xf numFmtId="38" fontId="1" fillId="0" borderId="0" xfId="2" applyBorder="1" applyAlignment="1">
      <alignment horizontal="right" vertical="center"/>
    </xf>
    <xf numFmtId="0" fontId="1" fillId="0" borderId="0" xfId="1" applyAlignment="1">
      <alignment horizontal="right" vertical="center"/>
    </xf>
    <xf numFmtId="38" fontId="8" fillId="0" borderId="14" xfId="2" applyFont="1" applyBorder="1" applyAlignment="1">
      <alignment horizontal="center" vertical="center"/>
    </xf>
    <xf numFmtId="38" fontId="8" fillId="0" borderId="15" xfId="2" applyFont="1" applyBorder="1" applyAlignment="1">
      <alignment horizontal="center" vertical="center"/>
    </xf>
    <xf numFmtId="38" fontId="8" fillId="0" borderId="16" xfId="2" applyFont="1" applyBorder="1" applyAlignment="1">
      <alignment horizontal="center" vertical="center"/>
    </xf>
    <xf numFmtId="38" fontId="8" fillId="0" borderId="17" xfId="2" applyFont="1" applyBorder="1" applyAlignment="1">
      <alignment horizontal="center" vertical="center"/>
    </xf>
    <xf numFmtId="38" fontId="8" fillId="0" borderId="18" xfId="2" applyFont="1" applyBorder="1" applyAlignment="1">
      <alignment horizontal="center" vertical="center"/>
    </xf>
    <xf numFmtId="38" fontId="3" fillId="0" borderId="19" xfId="2" applyFont="1" applyBorder="1" applyAlignment="1">
      <alignment horizontal="center" vertical="center"/>
    </xf>
    <xf numFmtId="0" fontId="1" fillId="0" borderId="24" xfId="1" applyBorder="1">
      <alignment vertical="center"/>
    </xf>
    <xf numFmtId="38" fontId="1" fillId="0" borderId="22" xfId="2" applyFont="1" applyBorder="1" applyAlignment="1">
      <alignment vertical="center"/>
    </xf>
    <xf numFmtId="0" fontId="1" fillId="0" borderId="22" xfId="1" applyBorder="1">
      <alignment vertical="center"/>
    </xf>
    <xf numFmtId="38" fontId="1" fillId="0" borderId="25" xfId="2" applyFont="1" applyBorder="1" applyAlignment="1">
      <alignment vertical="center"/>
    </xf>
    <xf numFmtId="38" fontId="1" fillId="0" borderId="26" xfId="2" applyFont="1" applyBorder="1" applyAlignment="1">
      <alignment vertical="center"/>
    </xf>
    <xf numFmtId="38" fontId="1" fillId="0" borderId="27" xfId="2" applyFont="1" applyBorder="1" applyAlignment="1">
      <alignment vertical="center"/>
    </xf>
    <xf numFmtId="38" fontId="11" fillId="0" borderId="23" xfId="2" applyFont="1" applyBorder="1" applyAlignment="1">
      <alignment vertical="center" shrinkToFit="1"/>
    </xf>
    <xf numFmtId="38" fontId="11" fillId="0" borderId="28" xfId="2" applyFont="1" applyBorder="1" applyAlignment="1">
      <alignment vertical="center" shrinkToFit="1"/>
    </xf>
    <xf numFmtId="38" fontId="12" fillId="0" borderId="29" xfId="2" applyFont="1" applyBorder="1" applyAlignment="1">
      <alignment vertical="center" shrinkToFit="1"/>
    </xf>
    <xf numFmtId="0" fontId="13" fillId="0" borderId="30" xfId="1" applyFont="1" applyBorder="1" applyAlignment="1">
      <alignment horizontal="left" vertical="center"/>
    </xf>
    <xf numFmtId="0" fontId="9" fillId="0" borderId="31" xfId="1" applyFont="1" applyBorder="1">
      <alignment vertical="center"/>
    </xf>
    <xf numFmtId="0" fontId="13" fillId="0" borderId="31" xfId="1" applyFont="1" applyBorder="1" applyAlignment="1">
      <alignment horizontal="left" vertical="center"/>
    </xf>
    <xf numFmtId="0" fontId="13" fillId="0" borderId="31" xfId="1" applyFont="1" applyBorder="1">
      <alignment vertical="center"/>
    </xf>
    <xf numFmtId="0" fontId="9" fillId="0" borderId="0" xfId="1" applyFont="1">
      <alignment vertical="center"/>
    </xf>
    <xf numFmtId="0" fontId="10" fillId="0" borderId="32" xfId="1" applyFont="1" applyBorder="1">
      <alignment vertical="center"/>
    </xf>
    <xf numFmtId="38" fontId="10" fillId="0" borderId="31" xfId="2" applyFont="1" applyBorder="1">
      <alignment vertical="center"/>
    </xf>
    <xf numFmtId="0" fontId="10" fillId="0" borderId="31" xfId="1" applyFont="1" applyBorder="1">
      <alignment vertical="center"/>
    </xf>
    <xf numFmtId="38" fontId="10" fillId="0" borderId="33" xfId="2" applyFont="1" applyBorder="1">
      <alignment vertical="center"/>
    </xf>
    <xf numFmtId="38" fontId="10" fillId="0" borderId="34" xfId="2" applyFont="1" applyBorder="1">
      <alignment vertical="center"/>
    </xf>
    <xf numFmtId="38" fontId="10" fillId="0" borderId="35" xfId="2" applyFont="1" applyBorder="1">
      <alignment vertical="center"/>
    </xf>
    <xf numFmtId="38" fontId="11" fillId="0" borderId="36" xfId="2" applyFont="1" applyBorder="1" applyAlignment="1">
      <alignment vertical="center" shrinkToFit="1"/>
    </xf>
    <xf numFmtId="38" fontId="11" fillId="0" borderId="37" xfId="2" applyFont="1" applyBorder="1" applyAlignment="1">
      <alignment vertical="center" shrinkToFit="1"/>
    </xf>
    <xf numFmtId="38" fontId="12" fillId="0" borderId="38" xfId="2" applyFont="1" applyBorder="1" applyAlignment="1">
      <alignment vertical="center" shrinkToFit="1"/>
    </xf>
    <xf numFmtId="0" fontId="13" fillId="0" borderId="39" xfId="1" applyFont="1" applyBorder="1" applyAlignment="1">
      <alignment horizontal="left" vertical="center"/>
    </xf>
    <xf numFmtId="0" fontId="14" fillId="0" borderId="30" xfId="1" applyFont="1" applyBorder="1" applyAlignment="1">
      <alignment horizontal="left" vertical="center"/>
    </xf>
    <xf numFmtId="0" fontId="3" fillId="0" borderId="31" xfId="1" applyFont="1" applyBorder="1">
      <alignment vertical="center"/>
    </xf>
    <xf numFmtId="0" fontId="1" fillId="0" borderId="39" xfId="1" applyBorder="1">
      <alignment vertical="center"/>
    </xf>
    <xf numFmtId="0" fontId="14" fillId="0" borderId="31" xfId="1" applyFont="1" applyBorder="1">
      <alignment vertical="center"/>
    </xf>
    <xf numFmtId="0" fontId="3" fillId="0" borderId="39" xfId="1" applyFont="1" applyBorder="1">
      <alignment vertical="center"/>
    </xf>
    <xf numFmtId="38" fontId="10" fillId="0" borderId="0" xfId="2" applyFont="1" applyBorder="1">
      <alignment vertical="center"/>
    </xf>
    <xf numFmtId="38" fontId="10" fillId="0" borderId="36" xfId="2" applyFont="1" applyBorder="1" applyAlignment="1">
      <alignment vertical="center" shrinkToFit="1"/>
    </xf>
    <xf numFmtId="38" fontId="10" fillId="0" borderId="37" xfId="2" applyFont="1" applyBorder="1" applyAlignment="1">
      <alignment vertical="center" shrinkToFit="1"/>
    </xf>
    <xf numFmtId="38" fontId="10" fillId="0" borderId="38" xfId="2" applyFont="1" applyBorder="1" applyAlignment="1">
      <alignment vertical="center" shrinkToFit="1"/>
    </xf>
    <xf numFmtId="0" fontId="14" fillId="0" borderId="31" xfId="1" applyFont="1" applyBorder="1" applyAlignment="1">
      <alignment horizontal="left" vertical="center"/>
    </xf>
    <xf numFmtId="0" fontId="10" fillId="0" borderId="40" xfId="1" applyFont="1" applyBorder="1">
      <alignment vertical="center"/>
    </xf>
    <xf numFmtId="0" fontId="10" fillId="0" borderId="0" xfId="1" applyFont="1">
      <alignment vertical="center"/>
    </xf>
    <xf numFmtId="38" fontId="10" fillId="0" borderId="41" xfId="2" applyFont="1" applyBorder="1">
      <alignment vertical="center"/>
    </xf>
    <xf numFmtId="38" fontId="10" fillId="0" borderId="42" xfId="2" applyFont="1" applyBorder="1">
      <alignment vertical="center"/>
    </xf>
    <xf numFmtId="38" fontId="10" fillId="0" borderId="43" xfId="2" applyFont="1" applyBorder="1">
      <alignment vertical="center"/>
    </xf>
    <xf numFmtId="0" fontId="14" fillId="0" borderId="44" xfId="1" applyFont="1" applyBorder="1" applyAlignment="1">
      <alignment horizontal="left" vertical="center"/>
    </xf>
    <xf numFmtId="0" fontId="14" fillId="0" borderId="45" xfId="1" applyFont="1" applyBorder="1" applyAlignment="1">
      <alignment horizontal="left" vertical="center"/>
    </xf>
    <xf numFmtId="0" fontId="3" fillId="0" borderId="45" xfId="1" applyFont="1" applyBorder="1">
      <alignment vertical="center"/>
    </xf>
    <xf numFmtId="0" fontId="14" fillId="0" borderId="45" xfId="1" applyFont="1" applyBorder="1">
      <alignment vertical="center"/>
    </xf>
    <xf numFmtId="0" fontId="14" fillId="0" borderId="30" xfId="1" applyFont="1" applyBorder="1">
      <alignment vertical="center"/>
    </xf>
    <xf numFmtId="38" fontId="10" fillId="0" borderId="38" xfId="2" applyFont="1" applyBorder="1" applyAlignment="1">
      <alignment horizontal="right" vertical="center" shrinkToFit="1"/>
    </xf>
    <xf numFmtId="0" fontId="15" fillId="0" borderId="31" xfId="1" applyFont="1" applyBorder="1">
      <alignment vertical="center"/>
    </xf>
    <xf numFmtId="38" fontId="10" fillId="0" borderId="46" xfId="2" applyFont="1" applyBorder="1" applyAlignment="1">
      <alignment vertical="center" shrinkToFit="1"/>
    </xf>
    <xf numFmtId="38" fontId="10" fillId="0" borderId="47" xfId="2" applyFont="1" applyBorder="1" applyAlignment="1">
      <alignment horizontal="right" vertical="center" shrinkToFit="1"/>
    </xf>
    <xf numFmtId="0" fontId="14" fillId="0" borderId="48" xfId="1" applyFont="1" applyBorder="1">
      <alignment vertical="center"/>
    </xf>
    <xf numFmtId="0" fontId="14" fillId="0" borderId="49" xfId="1" applyFont="1" applyBorder="1">
      <alignment vertical="center"/>
    </xf>
    <xf numFmtId="0" fontId="3" fillId="0" borderId="49" xfId="1" applyFont="1" applyBorder="1">
      <alignment vertical="center"/>
    </xf>
    <xf numFmtId="0" fontId="10" fillId="0" borderId="50" xfId="1" applyFont="1" applyBorder="1" applyAlignment="1">
      <alignment horizontal="left" vertical="center"/>
    </xf>
    <xf numFmtId="38" fontId="10" fillId="0" borderId="49" xfId="2" applyFont="1" applyBorder="1" applyAlignment="1">
      <alignment horizontal="right" vertical="center"/>
    </xf>
    <xf numFmtId="0" fontId="10" fillId="0" borderId="49" xfId="1" applyFont="1" applyBorder="1" applyAlignment="1">
      <alignment horizontal="left" vertical="center"/>
    </xf>
    <xf numFmtId="38" fontId="10" fillId="0" borderId="51" xfId="2" applyFont="1" applyBorder="1" applyAlignment="1">
      <alignment horizontal="right" vertical="center"/>
    </xf>
    <xf numFmtId="38" fontId="10" fillId="0" borderId="52" xfId="2" applyFont="1" applyBorder="1" applyAlignment="1">
      <alignment horizontal="right" vertical="center"/>
    </xf>
    <xf numFmtId="38" fontId="10" fillId="0" borderId="53" xfId="2" applyFont="1" applyBorder="1" applyAlignment="1">
      <alignment horizontal="right" vertical="center"/>
    </xf>
    <xf numFmtId="38" fontId="10" fillId="0" borderId="54" xfId="2" applyFont="1" applyBorder="1" applyAlignment="1">
      <alignment vertical="center" shrinkToFit="1"/>
    </xf>
    <xf numFmtId="38" fontId="10" fillId="0" borderId="55" xfId="2" applyFont="1" applyBorder="1" applyAlignment="1">
      <alignment vertical="center" shrinkToFit="1"/>
    </xf>
    <xf numFmtId="38" fontId="10" fillId="0" borderId="56" xfId="2" applyFont="1" applyBorder="1" applyAlignment="1">
      <alignment horizontal="right" vertical="center" shrinkToFit="1"/>
    </xf>
    <xf numFmtId="0" fontId="14" fillId="0" borderId="57" xfId="1" applyFont="1" applyBorder="1">
      <alignment vertical="center"/>
    </xf>
    <xf numFmtId="0" fontId="14" fillId="0" borderId="0" xfId="1" applyFont="1">
      <alignment vertical="center"/>
    </xf>
    <xf numFmtId="38" fontId="10" fillId="0" borderId="58" xfId="2" applyFont="1" applyBorder="1" applyAlignment="1">
      <alignment vertical="center" shrinkToFit="1"/>
    </xf>
    <xf numFmtId="38" fontId="10" fillId="0" borderId="28" xfId="2" applyFont="1" applyBorder="1" applyAlignment="1">
      <alignment vertical="center" shrinkToFit="1"/>
    </xf>
    <xf numFmtId="38" fontId="10" fillId="0" borderId="29" xfId="2" applyFont="1" applyBorder="1" applyAlignment="1">
      <alignment vertical="center" shrinkToFit="1"/>
    </xf>
    <xf numFmtId="0" fontId="1" fillId="0" borderId="49" xfId="1" applyBorder="1">
      <alignment vertical="center"/>
    </xf>
    <xf numFmtId="0" fontId="10" fillId="0" borderId="50" xfId="1" applyFont="1" applyBorder="1">
      <alignment vertical="center"/>
    </xf>
    <xf numFmtId="38" fontId="10" fillId="0" borderId="49" xfId="2" applyFont="1" applyBorder="1">
      <alignment vertical="center"/>
    </xf>
    <xf numFmtId="0" fontId="10" fillId="0" borderId="49" xfId="1" applyFont="1" applyBorder="1">
      <alignment vertical="center"/>
    </xf>
    <xf numFmtId="38" fontId="10" fillId="0" borderId="51" xfId="2" applyFont="1" applyBorder="1">
      <alignment vertical="center"/>
    </xf>
    <xf numFmtId="38" fontId="10" fillId="0" borderId="52" xfId="2" applyFont="1" applyBorder="1">
      <alignment vertical="center"/>
    </xf>
    <xf numFmtId="38" fontId="10" fillId="0" borderId="53" xfId="2" applyFont="1" applyBorder="1">
      <alignment vertical="center"/>
    </xf>
    <xf numFmtId="38" fontId="10" fillId="0" borderId="56" xfId="2" applyFont="1" applyBorder="1" applyAlignment="1">
      <alignment vertical="center" shrinkToFit="1"/>
    </xf>
    <xf numFmtId="0" fontId="14" fillId="0" borderId="59" xfId="1" applyFont="1" applyBorder="1">
      <alignment vertical="center"/>
    </xf>
    <xf numFmtId="0" fontId="3" fillId="0" borderId="16" xfId="1" applyFont="1" applyBorder="1">
      <alignment vertical="center"/>
    </xf>
    <xf numFmtId="0" fontId="1" fillId="0" borderId="16" xfId="1" applyBorder="1">
      <alignment vertical="center"/>
    </xf>
    <xf numFmtId="0" fontId="14" fillId="0" borderId="16" xfId="1" applyFont="1" applyBorder="1">
      <alignment vertical="center"/>
    </xf>
    <xf numFmtId="0" fontId="10" fillId="0" borderId="60" xfId="1" applyFont="1" applyBorder="1">
      <alignment vertical="center"/>
    </xf>
    <xf numFmtId="176" fontId="10" fillId="0" borderId="16" xfId="2" applyNumberFormat="1" applyFont="1" applyBorder="1">
      <alignment vertical="center"/>
    </xf>
    <xf numFmtId="0" fontId="10" fillId="0" borderId="16" xfId="1" applyFont="1" applyBorder="1">
      <alignment vertical="center"/>
    </xf>
    <xf numFmtId="176" fontId="10" fillId="0" borderId="14" xfId="2" applyNumberFormat="1" applyFont="1" applyBorder="1">
      <alignment vertical="center"/>
    </xf>
    <xf numFmtId="176" fontId="10" fillId="0" borderId="17" xfId="2" applyNumberFormat="1" applyFont="1" applyBorder="1">
      <alignment vertical="center"/>
    </xf>
    <xf numFmtId="176" fontId="10" fillId="0" borderId="18" xfId="2" applyNumberFormat="1" applyFont="1" applyBorder="1" applyAlignment="1">
      <alignment vertical="center" shrinkToFit="1"/>
    </xf>
    <xf numFmtId="176" fontId="10" fillId="0" borderId="19" xfId="2" applyNumberFormat="1" applyFont="1" applyBorder="1" applyAlignment="1">
      <alignment vertical="center" shrinkToFit="1"/>
    </xf>
    <xf numFmtId="176" fontId="10" fillId="0" borderId="61" xfId="2" applyNumberFormat="1" applyFont="1" applyBorder="1" applyAlignment="1">
      <alignment vertical="center" shrinkToFit="1"/>
    </xf>
    <xf numFmtId="0" fontId="14" fillId="0" borderId="62" xfId="1" applyFont="1" applyBorder="1">
      <alignment vertical="center"/>
    </xf>
    <xf numFmtId="0" fontId="3" fillId="0" borderId="63" xfId="1" applyFont="1" applyBorder="1">
      <alignment vertical="center"/>
    </xf>
    <xf numFmtId="0" fontId="1" fillId="0" borderId="63" xfId="1" applyBorder="1">
      <alignment vertical="center"/>
    </xf>
    <xf numFmtId="0" fontId="14" fillId="0" borderId="63" xfId="1" applyFont="1" applyBorder="1">
      <alignment vertical="center"/>
    </xf>
    <xf numFmtId="0" fontId="10" fillId="0" borderId="64" xfId="1" applyFont="1" applyBorder="1">
      <alignment vertical="center"/>
    </xf>
    <xf numFmtId="176" fontId="10" fillId="0" borderId="63" xfId="2" applyNumberFormat="1" applyFont="1" applyBorder="1">
      <alignment vertical="center"/>
    </xf>
    <xf numFmtId="0" fontId="10" fillId="0" borderId="63" xfId="1" applyFont="1" applyBorder="1">
      <alignment vertical="center"/>
    </xf>
    <xf numFmtId="176" fontId="10" fillId="0" borderId="0" xfId="2" applyNumberFormat="1" applyFont="1" applyBorder="1">
      <alignment vertical="center"/>
    </xf>
    <xf numFmtId="38" fontId="10" fillId="0" borderId="65" xfId="2" applyFont="1" applyBorder="1">
      <alignment vertical="center"/>
    </xf>
    <xf numFmtId="38" fontId="10" fillId="0" borderId="66" xfId="2" applyFont="1" applyBorder="1">
      <alignment vertical="center"/>
    </xf>
    <xf numFmtId="38" fontId="10" fillId="0" borderId="63" xfId="2" applyFont="1" applyBorder="1">
      <alignment vertical="center"/>
    </xf>
    <xf numFmtId="38" fontId="10" fillId="0" borderId="67" xfId="2" applyFont="1" applyBorder="1">
      <alignment vertical="center"/>
    </xf>
    <xf numFmtId="177" fontId="10" fillId="0" borderId="68" xfId="2" applyNumberFormat="1" applyFont="1" applyBorder="1" applyAlignment="1">
      <alignment vertical="center" shrinkToFit="1"/>
    </xf>
    <xf numFmtId="38" fontId="10" fillId="0" borderId="69" xfId="2" applyFont="1" applyBorder="1" applyAlignment="1">
      <alignment vertical="center" shrinkToFit="1"/>
    </xf>
    <xf numFmtId="176" fontId="10" fillId="0" borderId="49" xfId="2" applyNumberFormat="1" applyFont="1" applyBorder="1">
      <alignment vertical="center"/>
    </xf>
    <xf numFmtId="0" fontId="10" fillId="0" borderId="48" xfId="1" applyFont="1" applyBorder="1">
      <alignment vertical="center"/>
    </xf>
    <xf numFmtId="0" fontId="10" fillId="0" borderId="55" xfId="1" applyFont="1" applyBorder="1">
      <alignment vertical="center"/>
    </xf>
    <xf numFmtId="0" fontId="3" fillId="0" borderId="50" xfId="1" applyFont="1" applyBorder="1">
      <alignment vertical="center"/>
    </xf>
    <xf numFmtId="38" fontId="10" fillId="0" borderId="54" xfId="2" applyFont="1" applyBorder="1">
      <alignment vertical="center"/>
    </xf>
    <xf numFmtId="38" fontId="10" fillId="0" borderId="50" xfId="2" applyFont="1" applyBorder="1">
      <alignment vertical="center"/>
    </xf>
    <xf numFmtId="176" fontId="10" fillId="0" borderId="70" xfId="2" applyNumberFormat="1" applyFont="1" applyBorder="1">
      <alignment vertical="center"/>
    </xf>
    <xf numFmtId="38" fontId="10" fillId="0" borderId="71" xfId="2" applyFont="1" applyBorder="1">
      <alignment vertical="center"/>
    </xf>
    <xf numFmtId="38" fontId="10" fillId="0" borderId="55" xfId="2" applyFont="1" applyBorder="1">
      <alignment vertical="center"/>
    </xf>
    <xf numFmtId="38" fontId="10" fillId="0" borderId="56" xfId="2" applyFont="1" applyBorder="1">
      <alignment vertical="center"/>
    </xf>
    <xf numFmtId="0" fontId="10" fillId="0" borderId="54" xfId="1" applyFont="1" applyBorder="1">
      <alignment vertical="center"/>
    </xf>
    <xf numFmtId="38" fontId="10" fillId="0" borderId="70" xfId="2" applyFont="1" applyBorder="1">
      <alignment vertical="center"/>
    </xf>
    <xf numFmtId="0" fontId="10" fillId="0" borderId="59" xfId="1" applyFont="1" applyBorder="1">
      <alignment vertical="center"/>
    </xf>
    <xf numFmtId="0" fontId="10" fillId="0" borderId="18" xfId="1" applyFont="1" applyBorder="1">
      <alignment vertical="center"/>
    </xf>
    <xf numFmtId="0" fontId="10" fillId="0" borderId="19" xfId="1" applyFont="1" applyBorder="1">
      <alignment vertical="center"/>
    </xf>
    <xf numFmtId="0" fontId="3" fillId="0" borderId="60" xfId="1" applyFont="1" applyBorder="1">
      <alignment vertical="center"/>
    </xf>
    <xf numFmtId="38" fontId="10" fillId="0" borderId="16" xfId="2" applyFont="1" applyBorder="1">
      <alignment vertical="center"/>
    </xf>
    <xf numFmtId="38" fontId="10" fillId="0" borderId="18" xfId="2" applyFont="1" applyBorder="1">
      <alignment vertical="center"/>
    </xf>
    <xf numFmtId="38" fontId="10" fillId="0" borderId="60" xfId="2" applyFont="1" applyBorder="1">
      <alignment vertical="center"/>
    </xf>
    <xf numFmtId="38" fontId="10" fillId="0" borderId="14" xfId="2" applyFont="1" applyBorder="1">
      <alignment vertical="center"/>
    </xf>
    <xf numFmtId="38" fontId="10" fillId="0" borderId="15" xfId="2" applyFont="1" applyBorder="1">
      <alignment vertical="center"/>
    </xf>
    <xf numFmtId="38" fontId="10" fillId="0" borderId="72" xfId="2" applyFont="1" applyBorder="1">
      <alignment vertical="center"/>
    </xf>
    <xf numFmtId="38" fontId="10" fillId="0" borderId="19" xfId="2" applyFont="1" applyBorder="1">
      <alignment vertical="center"/>
    </xf>
    <xf numFmtId="38" fontId="10" fillId="0" borderId="61" xfId="2" applyFont="1" applyBorder="1">
      <alignment vertical="center"/>
    </xf>
    <xf numFmtId="38" fontId="1" fillId="0" borderId="0" xfId="2" applyFont="1">
      <alignment vertical="center"/>
    </xf>
    <xf numFmtId="38" fontId="10" fillId="0" borderId="74" xfId="2" applyFont="1" applyBorder="1">
      <alignment vertical="center"/>
    </xf>
    <xf numFmtId="38" fontId="10" fillId="0" borderId="73" xfId="2" applyFont="1" applyBorder="1">
      <alignment vertical="center"/>
    </xf>
    <xf numFmtId="176" fontId="10" fillId="0" borderId="63" xfId="2" applyNumberFormat="1" applyFont="1" applyBorder="1" applyAlignment="1">
      <alignment vertical="center" shrinkToFit="1"/>
    </xf>
    <xf numFmtId="38" fontId="10" fillId="0" borderId="76" xfId="2" applyFont="1" applyBorder="1">
      <alignment vertical="center"/>
    </xf>
    <xf numFmtId="38" fontId="10" fillId="0" borderId="77" xfId="2" applyFont="1" applyBorder="1">
      <alignment vertical="center"/>
    </xf>
    <xf numFmtId="176" fontId="10" fillId="0" borderId="78" xfId="2" applyNumberFormat="1" applyFont="1" applyBorder="1" applyAlignment="1">
      <alignment vertical="center" shrinkToFit="1"/>
    </xf>
    <xf numFmtId="38" fontId="10" fillId="0" borderId="79" xfId="2" applyFont="1" applyBorder="1">
      <alignment vertical="center"/>
    </xf>
    <xf numFmtId="38" fontId="10" fillId="0" borderId="80" xfId="2" applyFont="1" applyBorder="1">
      <alignment vertical="center"/>
    </xf>
    <xf numFmtId="38" fontId="4" fillId="0" borderId="0" xfId="2" applyFont="1" applyAlignment="1">
      <alignment horizontal="center" vertical="center"/>
    </xf>
    <xf numFmtId="38" fontId="11" fillId="0" borderId="83" xfId="2" applyFont="1" applyBorder="1" applyAlignment="1">
      <alignment vertical="center" shrinkToFit="1"/>
    </xf>
    <xf numFmtId="0" fontId="8" fillId="0" borderId="30" xfId="1" applyFont="1" applyBorder="1" applyAlignment="1">
      <alignment horizontal="left" vertical="center"/>
    </xf>
    <xf numFmtId="0" fontId="8" fillId="0" borderId="31" xfId="1" applyFont="1" applyBorder="1" applyAlignment="1">
      <alignment horizontal="left" vertical="center"/>
    </xf>
    <xf numFmtId="0" fontId="8" fillId="0" borderId="31" xfId="1" applyFont="1" applyBorder="1">
      <alignment vertical="center"/>
    </xf>
    <xf numFmtId="38" fontId="11" fillId="0" borderId="84" xfId="2" applyFont="1" applyBorder="1" applyAlignment="1">
      <alignment vertical="center" shrinkToFit="1"/>
    </xf>
    <xf numFmtId="0" fontId="8" fillId="0" borderId="39" xfId="1" applyFont="1" applyBorder="1" applyAlignment="1">
      <alignment horizontal="left" vertical="center"/>
    </xf>
    <xf numFmtId="38" fontId="10" fillId="0" borderId="84" xfId="2" applyFont="1" applyBorder="1" applyAlignment="1">
      <alignment vertical="center" shrinkToFit="1"/>
    </xf>
    <xf numFmtId="38" fontId="4" fillId="0" borderId="0" xfId="2" applyFont="1">
      <alignment vertical="center"/>
    </xf>
    <xf numFmtId="38" fontId="10" fillId="0" borderId="85" xfId="2" applyFont="1" applyBorder="1" applyAlignment="1">
      <alignment vertical="center" shrinkToFit="1"/>
    </xf>
    <xf numFmtId="38" fontId="10" fillId="0" borderId="86" xfId="2" applyFont="1" applyBorder="1" applyAlignment="1">
      <alignment vertical="center" shrinkToFit="1"/>
    </xf>
    <xf numFmtId="38" fontId="10" fillId="0" borderId="0" xfId="2" applyFont="1" applyBorder="1" applyAlignment="1">
      <alignment vertical="center" shrinkToFit="1"/>
    </xf>
    <xf numFmtId="9" fontId="4" fillId="0" borderId="0" xfId="2" applyNumberFormat="1" applyFont="1">
      <alignment vertical="center"/>
    </xf>
    <xf numFmtId="0" fontId="3" fillId="0" borderId="54" xfId="1" applyFont="1" applyBorder="1">
      <alignment vertical="center"/>
    </xf>
    <xf numFmtId="38" fontId="16" fillId="0" borderId="0" xfId="2" applyFont="1">
      <alignment vertical="center"/>
    </xf>
    <xf numFmtId="0" fontId="3" fillId="0" borderId="59" xfId="1" applyFont="1" applyBorder="1">
      <alignment vertical="center"/>
    </xf>
    <xf numFmtId="0" fontId="3" fillId="0" borderId="18" xfId="1" applyFont="1" applyBorder="1">
      <alignment vertical="center"/>
    </xf>
    <xf numFmtId="0" fontId="3" fillId="0" borderId="19" xfId="1" applyFont="1" applyBorder="1">
      <alignment vertical="center"/>
    </xf>
    <xf numFmtId="38" fontId="10" fillId="0" borderId="87" xfId="2" applyFont="1" applyBorder="1">
      <alignment vertical="center"/>
    </xf>
    <xf numFmtId="0" fontId="8" fillId="0" borderId="0" xfId="1" applyFont="1">
      <alignment vertical="center"/>
    </xf>
    <xf numFmtId="38" fontId="1" fillId="0" borderId="0" xfId="2" applyFont="1" applyAlignment="1">
      <alignment horizontal="center" vertical="center"/>
    </xf>
    <xf numFmtId="38" fontId="0" fillId="0" borderId="0" xfId="2" applyFont="1">
      <alignment vertical="center"/>
    </xf>
    <xf numFmtId="38" fontId="0" fillId="0" borderId="0" xfId="2" applyFont="1" applyAlignment="1">
      <alignment horizontal="center" vertical="center"/>
    </xf>
    <xf numFmtId="9" fontId="0" fillId="0" borderId="0" xfId="2" applyNumberFormat="1" applyFont="1" applyAlignment="1">
      <alignment horizontal="center" vertical="center"/>
    </xf>
    <xf numFmtId="38" fontId="1" fillId="0" borderId="0" xfId="1" applyNumberFormat="1">
      <alignment vertical="center"/>
    </xf>
    <xf numFmtId="38" fontId="1" fillId="0" borderId="0" xfId="2" applyFont="1" applyBorder="1">
      <alignment vertical="center"/>
    </xf>
    <xf numFmtId="38" fontId="0" fillId="0" borderId="0" xfId="2" applyFont="1" applyBorder="1">
      <alignment vertical="center"/>
    </xf>
    <xf numFmtId="38" fontId="1" fillId="0" borderId="34" xfId="2" applyFont="1" applyFill="1" applyBorder="1">
      <alignment vertical="center"/>
    </xf>
    <xf numFmtId="0" fontId="1" fillId="0" borderId="34" xfId="1" applyBorder="1">
      <alignment vertical="center"/>
    </xf>
    <xf numFmtId="38" fontId="0" fillId="0" borderId="34" xfId="2" applyFont="1" applyBorder="1" applyAlignment="1">
      <alignment horizontal="center" vertical="center"/>
    </xf>
    <xf numFmtId="9" fontId="1" fillId="0" borderId="34" xfId="1" applyNumberFormat="1" applyBorder="1" applyAlignment="1">
      <alignment horizontal="center" vertical="center"/>
    </xf>
    <xf numFmtId="9" fontId="0" fillId="0" borderId="34" xfId="2" applyNumberFormat="1" applyFont="1" applyBorder="1" applyAlignment="1">
      <alignment horizontal="center" vertical="center"/>
    </xf>
    <xf numFmtId="9" fontId="1" fillId="0" borderId="0" xfId="1" applyNumberFormat="1" applyAlignment="1">
      <alignment horizontal="center" vertical="center"/>
    </xf>
    <xf numFmtId="38" fontId="0" fillId="0" borderId="34" xfId="2" applyFont="1" applyBorder="1">
      <alignment vertical="center"/>
    </xf>
    <xf numFmtId="0" fontId="1" fillId="0" borderId="89" xfId="1" applyBorder="1" applyAlignment="1">
      <alignment horizontal="right" vertical="center"/>
    </xf>
    <xf numFmtId="38" fontId="0" fillId="0" borderId="89" xfId="2" applyFont="1" applyBorder="1">
      <alignment vertical="center"/>
    </xf>
    <xf numFmtId="38" fontId="10" fillId="0" borderId="91" xfId="2" applyFont="1" applyBorder="1" applyAlignment="1">
      <alignment vertical="center" shrinkToFit="1"/>
    </xf>
    <xf numFmtId="38" fontId="10" fillId="0" borderId="92" xfId="2" applyFont="1" applyBorder="1" applyAlignment="1">
      <alignment vertical="center" shrinkToFit="1"/>
    </xf>
    <xf numFmtId="0" fontId="3" fillId="0" borderId="0" xfId="1" applyFont="1" applyAlignment="1">
      <alignment horizontal="center" vertical="center"/>
    </xf>
    <xf numFmtId="38" fontId="8" fillId="0" borderId="0" xfId="2" applyFont="1" applyAlignment="1">
      <alignment horizontal="center" vertical="center"/>
    </xf>
    <xf numFmtId="178" fontId="8" fillId="0" borderId="0" xfId="2" applyNumberFormat="1" applyFont="1" applyAlignment="1">
      <alignment horizontal="center" vertical="center"/>
    </xf>
    <xf numFmtId="38" fontId="10" fillId="0" borderId="95" xfId="2" applyFont="1" applyBorder="1" applyAlignment="1">
      <alignment vertical="center" shrinkToFit="1"/>
    </xf>
    <xf numFmtId="176" fontId="10" fillId="0" borderId="15" xfId="2" applyNumberFormat="1" applyFont="1" applyBorder="1" applyAlignment="1">
      <alignment vertical="center" shrinkToFit="1"/>
    </xf>
    <xf numFmtId="176" fontId="10" fillId="0" borderId="75" xfId="2" applyNumberFormat="1" applyFont="1" applyBorder="1" applyAlignment="1">
      <alignment vertical="center" shrinkToFit="1"/>
    </xf>
    <xf numFmtId="38" fontId="0" fillId="0" borderId="0" xfId="3" applyFont="1">
      <alignment vertical="center"/>
    </xf>
    <xf numFmtId="49" fontId="0" fillId="0" borderId="0" xfId="3" applyNumberFormat="1" applyFont="1" applyAlignment="1">
      <alignment horizontal="center" vertical="center"/>
    </xf>
    <xf numFmtId="38" fontId="0" fillId="0" borderId="71" xfId="3" applyFont="1" applyBorder="1" applyAlignment="1">
      <alignment horizontal="center" vertical="center"/>
    </xf>
    <xf numFmtId="38" fontId="0" fillId="0" borderId="52" xfId="3" applyFont="1" applyBorder="1" applyAlignment="1">
      <alignment horizontal="center" vertical="center"/>
    </xf>
    <xf numFmtId="38" fontId="0" fillId="0" borderId="79" xfId="3" applyFont="1" applyBorder="1" applyAlignment="1">
      <alignment horizontal="center" vertical="center"/>
    </xf>
    <xf numFmtId="38" fontId="0" fillId="0" borderId="28" xfId="3" applyFont="1" applyBorder="1">
      <alignment vertical="center"/>
    </xf>
    <xf numFmtId="38" fontId="0" fillId="0" borderId="96" xfId="3" applyFont="1" applyBorder="1">
      <alignment vertical="center"/>
    </xf>
    <xf numFmtId="38" fontId="0" fillId="0" borderId="97" xfId="3" applyFont="1" applyBorder="1">
      <alignment vertical="center"/>
    </xf>
    <xf numFmtId="38" fontId="0" fillId="0" borderId="98" xfId="3" applyFont="1" applyBorder="1">
      <alignment vertical="center"/>
    </xf>
    <xf numFmtId="38" fontId="0" fillId="0" borderId="0" xfId="0" applyNumberFormat="1">
      <alignment vertical="center"/>
    </xf>
    <xf numFmtId="38" fontId="0" fillId="0" borderId="37" xfId="3" applyFont="1" applyBorder="1">
      <alignment vertical="center"/>
    </xf>
    <xf numFmtId="38" fontId="0" fillId="0" borderId="99" xfId="3" applyFont="1" applyBorder="1">
      <alignment vertical="center"/>
    </xf>
    <xf numFmtId="38" fontId="0" fillId="0" borderId="34" xfId="3" applyFont="1" applyBorder="1">
      <alignment vertical="center"/>
    </xf>
    <xf numFmtId="38" fontId="0" fillId="0" borderId="100" xfId="3" applyFont="1" applyBorder="1">
      <alignment vertical="center"/>
    </xf>
    <xf numFmtId="38" fontId="0" fillId="0" borderId="101" xfId="3" applyFont="1" applyBorder="1">
      <alignment vertical="center"/>
    </xf>
    <xf numFmtId="38" fontId="0" fillId="0" borderId="102" xfId="3" applyFont="1" applyBorder="1">
      <alignment vertical="center"/>
    </xf>
    <xf numFmtId="38" fontId="0" fillId="0" borderId="103" xfId="3" applyFont="1" applyBorder="1">
      <alignment vertical="center"/>
    </xf>
    <xf numFmtId="38" fontId="0" fillId="0" borderId="104" xfId="3" applyFont="1" applyBorder="1">
      <alignment vertical="center"/>
    </xf>
    <xf numFmtId="38" fontId="0" fillId="0" borderId="105" xfId="3" applyFont="1" applyBorder="1">
      <alignment vertical="center"/>
    </xf>
    <xf numFmtId="38" fontId="0" fillId="0" borderId="106" xfId="3" applyFont="1" applyBorder="1">
      <alignment vertical="center"/>
    </xf>
    <xf numFmtId="38" fontId="0" fillId="0" borderId="107" xfId="3" applyFont="1" applyBorder="1">
      <alignment vertical="center"/>
    </xf>
    <xf numFmtId="38" fontId="0" fillId="0" borderId="108" xfId="3" applyFont="1" applyBorder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20" fillId="0" borderId="101" xfId="0" applyFont="1" applyBorder="1" applyAlignment="1">
      <alignment horizontal="center" vertical="center" wrapText="1"/>
    </xf>
    <xf numFmtId="38" fontId="0" fillId="0" borderId="0" xfId="2" applyFont="1" applyFill="1">
      <alignment vertical="center"/>
    </xf>
    <xf numFmtId="176" fontId="10" fillId="0" borderId="16" xfId="2" applyNumberFormat="1" applyFont="1" applyBorder="1" applyAlignment="1">
      <alignment vertical="center" shrinkToFit="1"/>
    </xf>
    <xf numFmtId="0" fontId="3" fillId="0" borderId="49" xfId="1" applyFont="1" applyBorder="1" applyAlignment="1">
      <alignment horizontal="left" vertical="center"/>
    </xf>
    <xf numFmtId="0" fontId="0" fillId="0" borderId="31" xfId="0" applyBorder="1">
      <alignment vertical="center"/>
    </xf>
    <xf numFmtId="0" fontId="0" fillId="0" borderId="36" xfId="0" applyBorder="1">
      <alignment vertical="center"/>
    </xf>
    <xf numFmtId="0" fontId="18" fillId="0" borderId="31" xfId="0" applyFont="1" applyBorder="1">
      <alignment vertical="center"/>
    </xf>
    <xf numFmtId="38" fontId="10" fillId="0" borderId="31" xfId="2" applyFont="1" applyFill="1" applyBorder="1">
      <alignment vertical="center"/>
    </xf>
    <xf numFmtId="38" fontId="10" fillId="0" borderId="84" xfId="2" applyFont="1" applyFill="1" applyBorder="1" applyAlignment="1">
      <alignment vertical="center" shrinkToFit="1"/>
    </xf>
    <xf numFmtId="38" fontId="10" fillId="0" borderId="37" xfId="2" applyFont="1" applyFill="1" applyBorder="1" applyAlignment="1">
      <alignment vertical="center" shrinkToFit="1"/>
    </xf>
    <xf numFmtId="38" fontId="10" fillId="0" borderId="38" xfId="2" applyFont="1" applyFill="1" applyBorder="1" applyAlignment="1">
      <alignment vertical="center" shrinkToFit="1"/>
    </xf>
    <xf numFmtId="38" fontId="10" fillId="0" borderId="0" xfId="2" applyFont="1" applyFill="1" applyBorder="1">
      <alignment vertical="center"/>
    </xf>
    <xf numFmtId="0" fontId="3" fillId="0" borderId="94" xfId="1" applyFont="1" applyBorder="1">
      <alignment vertical="center"/>
    </xf>
    <xf numFmtId="0" fontId="14" fillId="0" borderId="94" xfId="1" applyFont="1" applyBorder="1">
      <alignment vertical="center"/>
    </xf>
    <xf numFmtId="0" fontId="3" fillId="0" borderId="93" xfId="1" applyFont="1" applyBorder="1">
      <alignment vertical="center"/>
    </xf>
    <xf numFmtId="38" fontId="10" fillId="0" borderId="90" xfId="2" applyFont="1" applyFill="1" applyBorder="1" applyAlignment="1">
      <alignment vertical="center" shrinkToFit="1"/>
    </xf>
    <xf numFmtId="38" fontId="10" fillId="0" borderId="91" xfId="2" applyFont="1" applyFill="1" applyBorder="1" applyAlignment="1">
      <alignment vertical="center" shrinkToFit="1"/>
    </xf>
    <xf numFmtId="38" fontId="10" fillId="0" borderId="49" xfId="2" applyFont="1" applyFill="1" applyBorder="1">
      <alignment vertical="center"/>
    </xf>
    <xf numFmtId="38" fontId="10" fillId="0" borderId="85" xfId="2" applyFont="1" applyFill="1" applyBorder="1" applyAlignment="1">
      <alignment vertical="center" shrinkToFit="1"/>
    </xf>
    <xf numFmtId="38" fontId="10" fillId="0" borderId="55" xfId="2" applyFont="1" applyFill="1" applyBorder="1" applyAlignment="1">
      <alignment vertical="center" shrinkToFit="1"/>
    </xf>
    <xf numFmtId="38" fontId="10" fillId="0" borderId="56" xfId="2" applyFont="1" applyFill="1" applyBorder="1" applyAlignment="1">
      <alignment vertical="center" shrinkToFit="1"/>
    </xf>
    <xf numFmtId="176" fontId="10" fillId="0" borderId="16" xfId="2" applyNumberFormat="1" applyFont="1" applyFill="1" applyBorder="1">
      <alignment vertical="center"/>
    </xf>
    <xf numFmtId="176" fontId="10" fillId="0" borderId="87" xfId="2" applyNumberFormat="1" applyFont="1" applyFill="1" applyBorder="1" applyAlignment="1">
      <alignment vertical="center" shrinkToFit="1"/>
    </xf>
    <xf numFmtId="176" fontId="10" fillId="0" borderId="19" xfId="2" applyNumberFormat="1" applyFont="1" applyFill="1" applyBorder="1" applyAlignment="1">
      <alignment vertical="center" shrinkToFit="1"/>
    </xf>
    <xf numFmtId="176" fontId="10" fillId="0" borderId="61" xfId="2" applyNumberFormat="1" applyFont="1" applyFill="1" applyBorder="1" applyAlignment="1">
      <alignment vertical="center" shrinkToFit="1"/>
    </xf>
    <xf numFmtId="176" fontId="10" fillId="0" borderId="63" xfId="2" applyNumberFormat="1" applyFont="1" applyFill="1" applyBorder="1">
      <alignment vertical="center"/>
    </xf>
    <xf numFmtId="176" fontId="10" fillId="0" borderId="0" xfId="2" applyNumberFormat="1" applyFont="1" applyFill="1" applyBorder="1">
      <alignment vertical="center"/>
    </xf>
    <xf numFmtId="176" fontId="10" fillId="0" borderId="88" xfId="2" applyNumberFormat="1" applyFont="1" applyFill="1" applyBorder="1" applyAlignment="1">
      <alignment vertical="center" shrinkToFit="1"/>
    </xf>
    <xf numFmtId="177" fontId="10" fillId="0" borderId="68" xfId="2" applyNumberFormat="1" applyFont="1" applyFill="1" applyBorder="1" applyAlignment="1">
      <alignment vertical="center" shrinkToFit="1"/>
    </xf>
    <xf numFmtId="0" fontId="3" fillId="0" borderId="48" xfId="1" applyFont="1" applyBorder="1">
      <alignment vertical="center"/>
    </xf>
    <xf numFmtId="176" fontId="10" fillId="0" borderId="49" xfId="2" applyNumberFormat="1" applyFont="1" applyFill="1" applyBorder="1">
      <alignment vertical="center"/>
    </xf>
    <xf numFmtId="38" fontId="10" fillId="0" borderId="54" xfId="2" applyFont="1" applyFill="1" applyBorder="1">
      <alignment vertical="center"/>
    </xf>
    <xf numFmtId="38" fontId="10" fillId="0" borderId="50" xfId="2" applyFont="1" applyFill="1" applyBorder="1">
      <alignment vertical="center"/>
    </xf>
    <xf numFmtId="38" fontId="10" fillId="0" borderId="85" xfId="2" applyFont="1" applyFill="1" applyBorder="1">
      <alignment vertical="center"/>
    </xf>
    <xf numFmtId="38" fontId="10" fillId="0" borderId="55" xfId="2" applyFont="1" applyFill="1" applyBorder="1">
      <alignment vertical="center"/>
    </xf>
    <xf numFmtId="38" fontId="10" fillId="0" borderId="56" xfId="2" applyFont="1" applyFill="1" applyBorder="1">
      <alignment vertical="center"/>
    </xf>
    <xf numFmtId="0" fontId="3" fillId="0" borderId="55" xfId="1" applyFont="1" applyBorder="1">
      <alignment vertical="center"/>
    </xf>
    <xf numFmtId="38" fontId="10" fillId="0" borderId="70" xfId="2" applyFont="1" applyFill="1" applyBorder="1">
      <alignment vertical="center"/>
    </xf>
    <xf numFmtId="38" fontId="10" fillId="0" borderId="84" xfId="2" applyFont="1" applyBorder="1">
      <alignment vertical="center"/>
    </xf>
    <xf numFmtId="0" fontId="21" fillId="0" borderId="31" xfId="0" applyFont="1" applyBorder="1">
      <alignment vertical="center"/>
    </xf>
    <xf numFmtId="0" fontId="22" fillId="0" borderId="31" xfId="0" applyFont="1" applyBorder="1">
      <alignment vertical="center"/>
    </xf>
    <xf numFmtId="0" fontId="3" fillId="0" borderId="34" xfId="1" applyFont="1" applyBorder="1">
      <alignment vertical="center"/>
    </xf>
    <xf numFmtId="38" fontId="10" fillId="0" borderId="92" xfId="2" applyFont="1" applyFill="1" applyBorder="1" applyAlignment="1">
      <alignment vertical="center" shrinkToFit="1"/>
    </xf>
    <xf numFmtId="38" fontId="0" fillId="0" borderId="109" xfId="2" applyFont="1" applyBorder="1" applyAlignment="1">
      <alignment horizontal="center" vertical="center"/>
    </xf>
    <xf numFmtId="9" fontId="0" fillId="0" borderId="109" xfId="2" applyNumberFormat="1" applyFont="1" applyBorder="1" applyAlignment="1">
      <alignment horizontal="center" vertical="center"/>
    </xf>
    <xf numFmtId="38" fontId="0" fillId="0" borderId="110" xfId="2" applyFont="1" applyBorder="1">
      <alignment vertical="center"/>
    </xf>
    <xf numFmtId="38" fontId="0" fillId="0" borderId="99" xfId="2" applyFont="1" applyBorder="1" applyAlignment="1">
      <alignment horizontal="center" vertical="center"/>
    </xf>
    <xf numFmtId="9" fontId="0" fillId="0" borderId="99" xfId="2" applyNumberFormat="1" applyFont="1" applyBorder="1" applyAlignment="1">
      <alignment horizontal="center" vertical="center"/>
    </xf>
    <xf numFmtId="38" fontId="0" fillId="0" borderId="111" xfId="2" applyFont="1" applyBorder="1">
      <alignment vertical="center"/>
    </xf>
    <xf numFmtId="38" fontId="0" fillId="0" borderId="112" xfId="2" applyFont="1" applyBorder="1" applyAlignment="1">
      <alignment horizontal="center" vertical="center"/>
    </xf>
    <xf numFmtId="9" fontId="0" fillId="0" borderId="113" xfId="2" applyNumberFormat="1" applyFont="1" applyBorder="1" applyAlignment="1">
      <alignment horizontal="center" vertical="center"/>
    </xf>
    <xf numFmtId="38" fontId="0" fillId="0" borderId="113" xfId="2" applyFont="1" applyBorder="1">
      <alignment vertical="center"/>
    </xf>
    <xf numFmtId="0" fontId="1" fillId="0" borderId="114" xfId="1" applyBorder="1" applyAlignment="1">
      <alignment horizontal="center" vertical="center"/>
    </xf>
    <xf numFmtId="9" fontId="1" fillId="0" borderId="115" xfId="1" applyNumberFormat="1" applyBorder="1" applyAlignment="1">
      <alignment horizontal="center" vertical="center"/>
    </xf>
    <xf numFmtId="38" fontId="1" fillId="0" borderId="115" xfId="1" applyNumberFormat="1" applyBorder="1">
      <alignment vertical="center"/>
    </xf>
    <xf numFmtId="38" fontId="10" fillId="0" borderId="99" xfId="2" applyFont="1" applyBorder="1">
      <alignment vertical="center"/>
    </xf>
    <xf numFmtId="0" fontId="10" fillId="0" borderId="116" xfId="1" applyFont="1" applyBorder="1">
      <alignment vertical="center"/>
    </xf>
    <xf numFmtId="38" fontId="0" fillId="0" borderId="109" xfId="3" applyFont="1" applyBorder="1">
      <alignment vertical="center"/>
    </xf>
    <xf numFmtId="38" fontId="0" fillId="0" borderId="34" xfId="2" applyFont="1" applyFill="1" applyBorder="1">
      <alignment vertical="center"/>
    </xf>
    <xf numFmtId="0" fontId="14" fillId="3" borderId="30" xfId="1" applyFont="1" applyFill="1" applyBorder="1">
      <alignment vertical="center"/>
    </xf>
    <xf numFmtId="17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63" xfId="0" applyBorder="1">
      <alignment vertical="center"/>
    </xf>
    <xf numFmtId="179" fontId="0" fillId="0" borderId="63" xfId="0" applyNumberFormat="1" applyBorder="1">
      <alignment vertical="center"/>
    </xf>
    <xf numFmtId="0" fontId="0" fillId="0" borderId="3" xfId="0" applyBorder="1">
      <alignment vertical="center"/>
    </xf>
    <xf numFmtId="179" fontId="0" fillId="0" borderId="3" xfId="0" applyNumberFormat="1" applyBorder="1">
      <alignment vertical="center"/>
    </xf>
    <xf numFmtId="0" fontId="0" fillId="2" borderId="117" xfId="0" applyFill="1" applyBorder="1">
      <alignment vertical="center"/>
    </xf>
    <xf numFmtId="0" fontId="0" fillId="0" borderId="117" xfId="0" applyBorder="1">
      <alignment vertical="center"/>
    </xf>
    <xf numFmtId="179" fontId="0" fillId="0" borderId="117" xfId="0" applyNumberFormat="1" applyBorder="1">
      <alignment vertical="center"/>
    </xf>
    <xf numFmtId="0" fontId="24" fillId="0" borderId="0" xfId="0" applyFont="1">
      <alignment vertical="center"/>
    </xf>
    <xf numFmtId="38" fontId="10" fillId="0" borderId="34" xfId="2" applyFont="1" applyFill="1" applyBorder="1">
      <alignment vertical="center"/>
    </xf>
    <xf numFmtId="0" fontId="14" fillId="4" borderId="30" xfId="1" applyFont="1" applyFill="1" applyBorder="1">
      <alignment vertical="center"/>
    </xf>
    <xf numFmtId="0" fontId="25" fillId="4" borderId="30" xfId="1" applyFont="1" applyFill="1" applyBorder="1">
      <alignment vertical="center"/>
    </xf>
    <xf numFmtId="0" fontId="14" fillId="5" borderId="30" xfId="1" applyFont="1" applyFill="1" applyBorder="1">
      <alignment vertical="center"/>
    </xf>
    <xf numFmtId="38" fontId="0" fillId="0" borderId="42" xfId="2" applyFont="1" applyFill="1" applyBorder="1">
      <alignment vertical="center"/>
    </xf>
    <xf numFmtId="38" fontId="0" fillId="0" borderId="34" xfId="3" applyFont="1" applyFill="1" applyBorder="1">
      <alignment vertical="center"/>
    </xf>
    <xf numFmtId="38" fontId="0" fillId="0" borderId="109" xfId="3" applyFont="1" applyFill="1" applyBorder="1">
      <alignment vertical="center"/>
    </xf>
    <xf numFmtId="38" fontId="0" fillId="0" borderId="99" xfId="3" applyFont="1" applyFill="1" applyBorder="1">
      <alignment vertical="center"/>
    </xf>
    <xf numFmtId="38" fontId="10" fillId="0" borderId="0" xfId="2" applyFont="1">
      <alignment vertical="center"/>
    </xf>
    <xf numFmtId="0" fontId="23" fillId="0" borderId="45" xfId="1" applyFont="1" applyBorder="1">
      <alignment vertical="center"/>
    </xf>
    <xf numFmtId="0" fontId="26" fillId="0" borderId="0" xfId="0" applyFont="1">
      <alignment vertical="center"/>
    </xf>
    <xf numFmtId="179" fontId="19" fillId="0" borderId="0" xfId="0" applyNumberFormat="1" applyFont="1">
      <alignment vertical="center"/>
    </xf>
    <xf numFmtId="179" fontId="19" fillId="0" borderId="63" xfId="0" applyNumberFormat="1" applyFont="1" applyBorder="1">
      <alignment vertical="center"/>
    </xf>
    <xf numFmtId="179" fontId="19" fillId="0" borderId="3" xfId="0" applyNumberFormat="1" applyFont="1" applyBorder="1">
      <alignment vertical="center"/>
    </xf>
    <xf numFmtId="180" fontId="26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27" fillId="0" borderId="0" xfId="0" applyFont="1">
      <alignment vertical="center"/>
    </xf>
    <xf numFmtId="0" fontId="3" fillId="6" borderId="34" xfId="1" applyFont="1" applyFill="1" applyBorder="1">
      <alignment vertical="center"/>
    </xf>
    <xf numFmtId="0" fontId="1" fillId="7" borderId="42" xfId="1" applyFill="1" applyBorder="1">
      <alignment vertical="center"/>
    </xf>
    <xf numFmtId="179" fontId="0" fillId="2" borderId="0" xfId="0" applyNumberFormat="1" applyFill="1">
      <alignment vertical="center"/>
    </xf>
    <xf numFmtId="38" fontId="1" fillId="2" borderId="0" xfId="1" applyNumberFormat="1" applyFill="1">
      <alignment vertical="center"/>
    </xf>
    <xf numFmtId="0" fontId="25" fillId="0" borderId="30" xfId="1" applyFont="1" applyBorder="1">
      <alignment vertical="center"/>
    </xf>
    <xf numFmtId="179" fontId="1" fillId="0" borderId="0" xfId="1" applyNumberFormat="1">
      <alignment vertical="center"/>
    </xf>
    <xf numFmtId="38" fontId="8" fillId="2" borderId="14" xfId="2" applyFont="1" applyFill="1" applyBorder="1" applyAlignment="1">
      <alignment horizontal="center" vertical="center"/>
    </xf>
    <xf numFmtId="38" fontId="8" fillId="2" borderId="17" xfId="2" applyFont="1" applyFill="1" applyBorder="1" applyAlignment="1">
      <alignment horizontal="center" vertical="center"/>
    </xf>
    <xf numFmtId="38" fontId="8" fillId="2" borderId="15" xfId="2" applyFont="1" applyFill="1" applyBorder="1" applyAlignment="1">
      <alignment horizontal="center" vertical="center"/>
    </xf>
    <xf numFmtId="0" fontId="10" fillId="8" borderId="31" xfId="1" applyFont="1" applyFill="1" applyBorder="1">
      <alignment vertical="center"/>
    </xf>
    <xf numFmtId="0" fontId="10" fillId="8" borderId="116" xfId="1" applyFont="1" applyFill="1" applyBorder="1">
      <alignment vertical="center"/>
    </xf>
    <xf numFmtId="38" fontId="10" fillId="8" borderId="116" xfId="2" applyFont="1" applyFill="1" applyBorder="1" applyAlignment="1">
      <alignment vertical="center" shrinkToFit="1"/>
    </xf>
    <xf numFmtId="38" fontId="4" fillId="0" borderId="0" xfId="2" applyFont="1" applyFill="1">
      <alignment vertical="center"/>
    </xf>
    <xf numFmtId="38" fontId="10" fillId="2" borderId="31" xfId="2" applyFont="1" applyFill="1" applyBorder="1">
      <alignment vertical="center"/>
    </xf>
    <xf numFmtId="38" fontId="10" fillId="0" borderId="116" xfId="2" applyFont="1" applyFill="1" applyBorder="1" applyAlignment="1">
      <alignment vertical="center" shrinkToFit="1"/>
    </xf>
    <xf numFmtId="0" fontId="3" fillId="0" borderId="118" xfId="1" applyFont="1" applyBorder="1" applyAlignment="1">
      <alignment vertical="center" shrinkToFit="1"/>
    </xf>
    <xf numFmtId="38" fontId="1" fillId="0" borderId="118" xfId="2" applyFont="1" applyFill="1" applyBorder="1">
      <alignment vertical="center"/>
    </xf>
    <xf numFmtId="38" fontId="0" fillId="0" borderId="118" xfId="2" applyFont="1" applyFill="1" applyBorder="1">
      <alignment vertical="center"/>
    </xf>
    <xf numFmtId="0" fontId="3" fillId="0" borderId="3" xfId="1" applyFont="1" applyBorder="1">
      <alignment vertical="center"/>
    </xf>
    <xf numFmtId="38" fontId="1" fillId="0" borderId="3" xfId="2" applyFont="1" applyBorder="1">
      <alignment vertical="center"/>
    </xf>
    <xf numFmtId="38" fontId="1" fillId="0" borderId="3" xfId="1" applyNumberFormat="1" applyBorder="1">
      <alignment vertical="center"/>
    </xf>
    <xf numFmtId="0" fontId="1" fillId="0" borderId="118" xfId="1" applyBorder="1">
      <alignment vertical="center"/>
    </xf>
    <xf numFmtId="38" fontId="0" fillId="0" borderId="118" xfId="2" applyFont="1" applyBorder="1">
      <alignment vertical="center"/>
    </xf>
    <xf numFmtId="38" fontId="0" fillId="0" borderId="119" xfId="2" applyFont="1" applyBorder="1">
      <alignment vertical="center"/>
    </xf>
    <xf numFmtId="38" fontId="1" fillId="0" borderId="119" xfId="1" applyNumberFormat="1" applyBorder="1">
      <alignment vertical="center"/>
    </xf>
    <xf numFmtId="38" fontId="28" fillId="0" borderId="0" xfId="2" applyFont="1">
      <alignment vertical="center"/>
    </xf>
    <xf numFmtId="38" fontId="10" fillId="0" borderId="33" xfId="2" applyFont="1" applyFill="1" applyBorder="1">
      <alignment vertical="center"/>
    </xf>
    <xf numFmtId="38" fontId="10" fillId="0" borderId="35" xfId="2" applyFont="1" applyFill="1" applyBorder="1">
      <alignment vertical="center"/>
    </xf>
    <xf numFmtId="9" fontId="0" fillId="0" borderId="0" xfId="4" applyFont="1">
      <alignment vertical="center"/>
    </xf>
    <xf numFmtId="179" fontId="29" fillId="0" borderId="0" xfId="0" applyNumberFormat="1" applyFont="1">
      <alignment vertical="center"/>
    </xf>
    <xf numFmtId="38" fontId="30" fillId="0" borderId="31" xfId="2" applyFont="1" applyFill="1" applyBorder="1">
      <alignment vertical="center"/>
    </xf>
    <xf numFmtId="38" fontId="30" fillId="0" borderId="38" xfId="2" applyFont="1" applyFill="1" applyBorder="1" applyAlignment="1">
      <alignment vertical="center" shrinkToFit="1"/>
    </xf>
    <xf numFmtId="0" fontId="30" fillId="0" borderId="31" xfId="1" applyFont="1" applyBorder="1">
      <alignment vertical="center"/>
    </xf>
    <xf numFmtId="38" fontId="30" fillId="0" borderId="84" xfId="2" applyFont="1" applyBorder="1" applyAlignment="1">
      <alignment vertical="center" shrinkToFit="1"/>
    </xf>
    <xf numFmtId="38" fontId="30" fillId="0" borderId="37" xfId="2" applyFont="1" applyBorder="1" applyAlignment="1">
      <alignment vertical="center" shrinkToFit="1"/>
    </xf>
    <xf numFmtId="38" fontId="30" fillId="0" borderId="31" xfId="2" applyFont="1" applyBorder="1">
      <alignment vertical="center"/>
    </xf>
    <xf numFmtId="0" fontId="30" fillId="0" borderId="116" xfId="1" applyFont="1" applyBorder="1">
      <alignment vertical="center"/>
    </xf>
    <xf numFmtId="38" fontId="30" fillId="0" borderId="99" xfId="2" applyFont="1" applyBorder="1">
      <alignment vertical="center"/>
    </xf>
    <xf numFmtId="38" fontId="30" fillId="0" borderId="84" xfId="2" applyFont="1" applyFill="1" applyBorder="1" applyAlignment="1">
      <alignment vertical="center" shrinkToFit="1"/>
    </xf>
    <xf numFmtId="38" fontId="30" fillId="0" borderId="38" xfId="2" applyFont="1" applyBorder="1" applyAlignment="1">
      <alignment horizontal="right" vertical="center" shrinkToFit="1"/>
    </xf>
    <xf numFmtId="0" fontId="0" fillId="0" borderId="0" xfId="0">
      <alignment vertical="center"/>
    </xf>
    <xf numFmtId="0" fontId="0" fillId="0" borderId="5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31" fontId="1" fillId="0" borderId="1" xfId="1" applyNumberFormat="1" applyBorder="1" applyAlignment="1">
      <alignment horizontal="left" vertical="center"/>
    </xf>
    <xf numFmtId="0" fontId="1" fillId="0" borderId="1" xfId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6" xfId="2" applyFont="1" applyBorder="1" applyAlignment="1">
      <alignment horizontal="center" vertical="center"/>
    </xf>
    <xf numFmtId="38" fontId="8" fillId="0" borderId="7" xfId="2" applyFont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20" xfId="2" applyFont="1" applyBorder="1" applyAlignment="1">
      <alignment horizontal="center" vertical="center"/>
    </xf>
    <xf numFmtId="0" fontId="3" fillId="0" borderId="0" xfId="1" applyFont="1">
      <alignment vertical="center"/>
    </xf>
    <xf numFmtId="38" fontId="3" fillId="0" borderId="0" xfId="1" applyNumberFormat="1" applyFont="1" applyAlignment="1">
      <alignment horizontal="center" vertical="center"/>
    </xf>
    <xf numFmtId="0" fontId="3" fillId="0" borderId="31" xfId="1" applyFont="1" applyBorder="1">
      <alignment vertical="center"/>
    </xf>
    <xf numFmtId="0" fontId="0" fillId="0" borderId="31" xfId="0" applyBorder="1">
      <alignment vertical="center"/>
    </xf>
    <xf numFmtId="0" fontId="0" fillId="0" borderId="36" xfId="0" applyBorder="1">
      <alignment vertical="center"/>
    </xf>
    <xf numFmtId="0" fontId="9" fillId="0" borderId="21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10" fillId="0" borderId="4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21" fillId="0" borderId="31" xfId="0" applyFont="1" applyBorder="1" applyAlignment="1">
      <alignment horizontal="left" vertical="center"/>
    </xf>
    <xf numFmtId="0" fontId="3" fillId="0" borderId="31" xfId="1" applyFont="1" applyBorder="1" applyAlignment="1">
      <alignment horizontal="center" vertical="center"/>
    </xf>
    <xf numFmtId="38" fontId="8" fillId="0" borderId="81" xfId="2" applyFont="1" applyBorder="1" applyAlignment="1">
      <alignment horizontal="center" vertical="center" shrinkToFit="1"/>
    </xf>
    <xf numFmtId="38" fontId="8" fillId="0" borderId="82" xfId="2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left" vertical="center"/>
    </xf>
    <xf numFmtId="0" fontId="3" fillId="0" borderId="22" xfId="1" applyFont="1" applyBorder="1">
      <alignment vertical="center"/>
    </xf>
    <xf numFmtId="0" fontId="3" fillId="0" borderId="23" xfId="1" applyFont="1" applyBorder="1">
      <alignment vertical="center"/>
    </xf>
    <xf numFmtId="0" fontId="3" fillId="0" borderId="49" xfId="1" applyFont="1" applyBorder="1" applyAlignment="1">
      <alignment horizontal="left" vertical="center"/>
    </xf>
    <xf numFmtId="0" fontId="3" fillId="0" borderId="54" xfId="1" applyFont="1" applyBorder="1" applyAlignment="1">
      <alignment horizontal="left" vertical="center"/>
    </xf>
  </cellXfs>
  <cellStyles count="5">
    <cellStyle name="パーセント" xfId="4" builtinId="5"/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217C-3F13-4D81-B333-E0700E3169F0}">
  <dimension ref="A1:R35"/>
  <sheetViews>
    <sheetView topLeftCell="A9" workbookViewId="0">
      <selection activeCell="M2" sqref="M2"/>
    </sheetView>
  </sheetViews>
  <sheetFormatPr defaultColWidth="9.625" defaultRowHeight="15" customHeight="1" x14ac:dyDescent="0.15"/>
  <cols>
    <col min="1" max="1" width="3.625" customWidth="1"/>
    <col min="2" max="2" width="5" customWidth="1"/>
    <col min="16" max="16" width="13.125" customWidth="1"/>
    <col min="18" max="18" width="11" bestFit="1" customWidth="1"/>
  </cols>
  <sheetData>
    <row r="1" spans="1:16" ht="15" customHeight="1" x14ac:dyDescent="0.15">
      <c r="C1" s="285" t="s">
        <v>196</v>
      </c>
    </row>
    <row r="2" spans="1:16" ht="15" customHeight="1" x14ac:dyDescent="0.1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153</v>
      </c>
      <c r="J2" t="s">
        <v>193</v>
      </c>
      <c r="K2" t="s">
        <v>194</v>
      </c>
      <c r="L2" t="s">
        <v>156</v>
      </c>
      <c r="M2" t="s">
        <v>195</v>
      </c>
      <c r="N2" t="s">
        <v>158</v>
      </c>
    </row>
    <row r="3" spans="1:16" ht="15" customHeight="1" x14ac:dyDescent="0.15">
      <c r="C3" s="276">
        <v>194000</v>
      </c>
      <c r="D3" s="276"/>
      <c r="E3" s="276">
        <v>482000</v>
      </c>
      <c r="F3" s="276">
        <v>10000</v>
      </c>
      <c r="G3" s="276">
        <v>250000</v>
      </c>
      <c r="H3" s="276">
        <v>200000</v>
      </c>
      <c r="I3" s="276"/>
      <c r="J3" s="276"/>
      <c r="K3" s="276">
        <v>2578000</v>
      </c>
      <c r="L3" s="276">
        <v>15000</v>
      </c>
      <c r="M3" s="276"/>
      <c r="N3" s="276">
        <v>30000</v>
      </c>
    </row>
    <row r="4" spans="1:16" ht="15" customHeight="1" x14ac:dyDescent="0.15">
      <c r="C4" s="276"/>
      <c r="D4" s="276"/>
      <c r="E4" s="276">
        <v>240000</v>
      </c>
      <c r="F4" s="276">
        <v>10000</v>
      </c>
      <c r="G4" s="276"/>
      <c r="H4" s="276">
        <v>120000</v>
      </c>
      <c r="I4" s="276"/>
      <c r="J4" s="276"/>
      <c r="K4" s="276">
        <v>80000</v>
      </c>
      <c r="L4" s="276">
        <v>40000</v>
      </c>
      <c r="M4" s="276"/>
      <c r="N4" s="276">
        <v>20000</v>
      </c>
    </row>
    <row r="5" spans="1:16" ht="15" customHeight="1" x14ac:dyDescent="0.15">
      <c r="C5" s="276"/>
      <c r="D5" s="276"/>
      <c r="E5" s="276">
        <v>90000</v>
      </c>
      <c r="F5" s="276"/>
      <c r="G5" s="276"/>
      <c r="H5" s="276"/>
      <c r="I5" s="276"/>
      <c r="J5" s="276"/>
      <c r="K5" s="276"/>
      <c r="L5" s="276">
        <v>30000</v>
      </c>
      <c r="M5" s="276"/>
      <c r="N5" s="276"/>
    </row>
    <row r="6" spans="1:16" ht="15" customHeight="1" x14ac:dyDescent="0.15">
      <c r="C6" s="276"/>
      <c r="D6" s="276"/>
      <c r="E6" s="276"/>
      <c r="F6" s="276"/>
      <c r="G6" s="276"/>
      <c r="H6" s="276"/>
      <c r="I6" s="276"/>
      <c r="J6" s="276"/>
      <c r="K6" s="276"/>
      <c r="L6" s="276">
        <v>40000</v>
      </c>
      <c r="M6" s="276"/>
      <c r="N6" s="276"/>
    </row>
    <row r="7" spans="1:16" ht="15" customHeight="1" thickBot="1" x14ac:dyDescent="0.2">
      <c r="A7" s="277" t="s">
        <v>186</v>
      </c>
      <c r="B7" s="278" t="s">
        <v>180</v>
      </c>
      <c r="C7" s="279">
        <f t="shared" ref="C7:N7" si="0">SUM(C3:C6)</f>
        <v>194000</v>
      </c>
      <c r="D7" s="279">
        <f t="shared" si="0"/>
        <v>0</v>
      </c>
      <c r="E7" s="279">
        <f t="shared" si="0"/>
        <v>812000</v>
      </c>
      <c r="F7" s="279">
        <f t="shared" si="0"/>
        <v>20000</v>
      </c>
      <c r="G7" s="279">
        <f t="shared" si="0"/>
        <v>250000</v>
      </c>
      <c r="H7" s="279">
        <f t="shared" si="0"/>
        <v>320000</v>
      </c>
      <c r="I7" s="279">
        <f t="shared" si="0"/>
        <v>0</v>
      </c>
      <c r="J7" s="279">
        <f t="shared" si="0"/>
        <v>0</v>
      </c>
      <c r="K7" s="279">
        <f t="shared" si="0"/>
        <v>2658000</v>
      </c>
      <c r="L7" s="279">
        <f t="shared" si="0"/>
        <v>125000</v>
      </c>
      <c r="M7" s="279">
        <f t="shared" si="0"/>
        <v>0</v>
      </c>
      <c r="N7" s="279">
        <f t="shared" si="0"/>
        <v>50000</v>
      </c>
      <c r="P7" s="305">
        <f>SUM(C7:O7)</f>
        <v>4429000</v>
      </c>
    </row>
    <row r="8" spans="1:16" ht="15" customHeight="1" x14ac:dyDescent="0.15">
      <c r="A8" s="280"/>
      <c r="B8" s="280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1:16" ht="15" customHeight="1" x14ac:dyDescent="0.15">
      <c r="C9" s="285" t="s">
        <v>89</v>
      </c>
    </row>
    <row r="10" spans="1:16" ht="15" customHeight="1" x14ac:dyDescent="0.15">
      <c r="C10" t="s">
        <v>187</v>
      </c>
      <c r="D10" t="s">
        <v>188</v>
      </c>
      <c r="E10" t="s">
        <v>189</v>
      </c>
      <c r="F10" t="s">
        <v>190</v>
      </c>
      <c r="G10" t="s">
        <v>191</v>
      </c>
      <c r="H10" t="s">
        <v>192</v>
      </c>
      <c r="I10" t="s">
        <v>153</v>
      </c>
      <c r="J10" t="s">
        <v>193</v>
      </c>
      <c r="K10" t="s">
        <v>194</v>
      </c>
      <c r="L10" t="s">
        <v>156</v>
      </c>
      <c r="M10" t="s">
        <v>195</v>
      </c>
      <c r="N10" t="s">
        <v>158</v>
      </c>
    </row>
    <row r="11" spans="1:16" ht="15" customHeight="1" x14ac:dyDescent="0.15">
      <c r="C11" s="276"/>
      <c r="D11" s="276">
        <v>11000</v>
      </c>
      <c r="E11" s="276">
        <v>1700000</v>
      </c>
      <c r="F11" s="276">
        <v>70000</v>
      </c>
      <c r="G11" s="276">
        <v>3000000</v>
      </c>
      <c r="H11" s="276"/>
      <c r="I11" s="276">
        <v>400000</v>
      </c>
      <c r="J11" s="276"/>
      <c r="K11" s="276">
        <v>220000</v>
      </c>
      <c r="L11" s="276"/>
      <c r="M11" s="276">
        <v>50000</v>
      </c>
      <c r="N11" s="276">
        <v>200000</v>
      </c>
    </row>
    <row r="12" spans="1:16" ht="15" customHeight="1" x14ac:dyDescent="0.15">
      <c r="C12" s="276"/>
      <c r="D12" s="276">
        <v>10000</v>
      </c>
      <c r="E12" s="276">
        <v>150000</v>
      </c>
      <c r="F12" s="276">
        <v>30000</v>
      </c>
      <c r="G12" s="276">
        <v>600000</v>
      </c>
      <c r="H12" s="276"/>
      <c r="I12" s="276">
        <v>45000</v>
      </c>
      <c r="J12" s="276"/>
      <c r="K12" s="276"/>
      <c r="L12" s="276"/>
      <c r="M12" s="276">
        <v>80000</v>
      </c>
      <c r="N12" s="276">
        <v>2000</v>
      </c>
    </row>
    <row r="13" spans="1:16" ht="15" customHeight="1" x14ac:dyDescent="0.15">
      <c r="C13" s="276"/>
      <c r="D13" s="276">
        <v>7000</v>
      </c>
      <c r="E13" s="276">
        <v>400000</v>
      </c>
      <c r="F13" s="276">
        <v>380000</v>
      </c>
      <c r="G13" s="276">
        <v>2600000</v>
      </c>
      <c r="H13" s="276"/>
      <c r="I13" s="276">
        <v>20000</v>
      </c>
      <c r="J13" s="276"/>
      <c r="K13" s="276"/>
      <c r="L13" s="276"/>
      <c r="M13" s="276">
        <v>60000</v>
      </c>
      <c r="N13" s="276">
        <v>50000</v>
      </c>
    </row>
    <row r="14" spans="1:16" ht="15" customHeight="1" x14ac:dyDescent="0.15">
      <c r="C14" s="276"/>
      <c r="D14" s="276"/>
      <c r="E14" s="276"/>
      <c r="F14" s="276">
        <v>380000</v>
      </c>
      <c r="G14" s="276"/>
      <c r="H14" s="276"/>
      <c r="I14" s="276"/>
      <c r="J14" s="276"/>
      <c r="K14" s="276"/>
      <c r="L14" s="276"/>
      <c r="M14" s="276"/>
      <c r="N14" s="276">
        <v>2200</v>
      </c>
    </row>
    <row r="15" spans="1:16" ht="15" customHeight="1" x14ac:dyDescent="0.15">
      <c r="C15" s="276"/>
      <c r="D15" s="276"/>
      <c r="E15" s="276"/>
      <c r="F15" s="276">
        <v>20000</v>
      </c>
      <c r="G15" s="276"/>
      <c r="H15" s="276"/>
      <c r="I15" s="276"/>
      <c r="J15" s="276"/>
      <c r="K15" s="276"/>
      <c r="L15" s="276"/>
      <c r="M15" s="276"/>
      <c r="N15" s="276">
        <v>1000000</v>
      </c>
    </row>
    <row r="16" spans="1:16" ht="15" customHeight="1" x14ac:dyDescent="0.15">
      <c r="C16" s="276"/>
      <c r="D16" s="276"/>
      <c r="E16" s="276"/>
      <c r="F16" s="276">
        <v>50000</v>
      </c>
      <c r="G16" s="276"/>
      <c r="H16" s="276"/>
      <c r="I16" s="276"/>
      <c r="J16" s="276"/>
      <c r="K16" s="276"/>
      <c r="L16" s="276"/>
      <c r="M16" s="276"/>
      <c r="N16" s="276"/>
    </row>
    <row r="17" spans="1:16" ht="15" customHeight="1" x14ac:dyDescent="0.15">
      <c r="C17" s="276"/>
      <c r="D17" s="276"/>
      <c r="E17" s="276"/>
      <c r="F17" s="276">
        <v>20000</v>
      </c>
      <c r="G17" s="276"/>
      <c r="H17" s="276"/>
      <c r="I17" s="276"/>
      <c r="J17" s="276"/>
      <c r="K17" s="276"/>
      <c r="L17" s="276"/>
      <c r="M17" s="276"/>
      <c r="N17" s="276"/>
    </row>
    <row r="18" spans="1:16" ht="15" customHeight="1" x14ac:dyDescent="0.15">
      <c r="C18" s="276"/>
      <c r="D18" s="276"/>
      <c r="E18" s="276"/>
      <c r="F18" s="276">
        <v>5000</v>
      </c>
      <c r="G18" s="276"/>
      <c r="H18" s="276"/>
      <c r="I18" s="276"/>
      <c r="J18" s="276"/>
      <c r="K18" s="276"/>
      <c r="L18" s="276"/>
      <c r="M18" s="276"/>
      <c r="N18" s="276"/>
    </row>
    <row r="19" spans="1:16" ht="15" customHeight="1" x14ac:dyDescent="0.15">
      <c r="C19" s="276"/>
      <c r="D19" s="276"/>
      <c r="E19" s="276"/>
      <c r="F19" s="276">
        <v>50000</v>
      </c>
      <c r="G19" s="276"/>
      <c r="H19" s="276"/>
      <c r="I19" s="276"/>
      <c r="J19" s="276"/>
      <c r="K19" s="276"/>
      <c r="L19" s="276"/>
      <c r="M19" s="276"/>
      <c r="N19" s="276"/>
    </row>
    <row r="20" spans="1:16" ht="15" customHeight="1" thickBot="1" x14ac:dyDescent="0.2">
      <c r="C20" s="276"/>
      <c r="D20" s="276"/>
      <c r="E20" s="276"/>
      <c r="F20" s="276">
        <v>50000</v>
      </c>
      <c r="G20" s="276"/>
      <c r="H20" s="276"/>
      <c r="I20" s="276"/>
      <c r="J20" s="276"/>
      <c r="K20" s="276"/>
      <c r="L20" s="276"/>
      <c r="M20" s="276"/>
      <c r="N20" s="276"/>
    </row>
    <row r="21" spans="1:16" ht="15" customHeight="1" thickBot="1" x14ac:dyDescent="0.2">
      <c r="A21" s="282" t="s">
        <v>91</v>
      </c>
      <c r="B21" s="283" t="s">
        <v>180</v>
      </c>
      <c r="C21" s="284">
        <f>SUM(C11:C20)</f>
        <v>0</v>
      </c>
      <c r="D21" s="284">
        <f t="shared" ref="D21" si="1">SUM(D11:D20)</f>
        <v>28000</v>
      </c>
      <c r="E21" s="284">
        <f t="shared" ref="E21" si="2">SUM(E11:E20)</f>
        <v>2250000</v>
      </c>
      <c r="F21" s="284">
        <f t="shared" ref="F21" si="3">SUM(F11:F20)</f>
        <v>1055000</v>
      </c>
      <c r="G21" s="284">
        <f t="shared" ref="G21" si="4">SUM(G11:G20)</f>
        <v>6200000</v>
      </c>
      <c r="H21" s="284">
        <f t="shared" ref="H21" si="5">SUM(H11:H20)</f>
        <v>0</v>
      </c>
      <c r="I21" s="284">
        <f t="shared" ref="I21" si="6">SUM(I11:I20)</f>
        <v>465000</v>
      </c>
      <c r="J21" s="284">
        <f t="shared" ref="J21" si="7">SUM(J11:J20)</f>
        <v>0</v>
      </c>
      <c r="K21" s="284">
        <f t="shared" ref="K21" si="8">SUM(K11:K20)</f>
        <v>220000</v>
      </c>
      <c r="L21" s="284">
        <f t="shared" ref="L21" si="9">SUM(L11:L20)</f>
        <v>0</v>
      </c>
      <c r="M21" s="284">
        <f t="shared" ref="M21" si="10">SUM(M11:M20)</f>
        <v>190000</v>
      </c>
      <c r="N21" s="284">
        <f t="shared" ref="N21" si="11">SUM(N11:N20)</f>
        <v>1254200</v>
      </c>
      <c r="P21" s="305">
        <f>SUM(C21:O21)</f>
        <v>11662200</v>
      </c>
    </row>
    <row r="22" spans="1:16" ht="15" customHeight="1" x14ac:dyDescent="0.15"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</row>
    <row r="23" spans="1:16" ht="15" customHeight="1" x14ac:dyDescent="0.15">
      <c r="C23" s="285" t="s">
        <v>90</v>
      </c>
    </row>
    <row r="24" spans="1:16" ht="15" customHeight="1" x14ac:dyDescent="0.15">
      <c r="C24" t="s">
        <v>187</v>
      </c>
      <c r="D24" t="s">
        <v>188</v>
      </c>
      <c r="E24" t="s">
        <v>189</v>
      </c>
      <c r="F24" t="s">
        <v>190</v>
      </c>
      <c r="G24" t="s">
        <v>191</v>
      </c>
      <c r="H24" t="s">
        <v>192</v>
      </c>
      <c r="I24" t="s">
        <v>153</v>
      </c>
      <c r="J24" t="s">
        <v>193</v>
      </c>
      <c r="K24" t="s">
        <v>194</v>
      </c>
      <c r="L24" t="s">
        <v>156</v>
      </c>
      <c r="M24" t="s">
        <v>195</v>
      </c>
      <c r="N24" t="s">
        <v>158</v>
      </c>
    </row>
    <row r="25" spans="1:16" ht="15" customHeight="1" x14ac:dyDescent="0.15">
      <c r="C25" s="276"/>
      <c r="D25" s="276">
        <v>200000</v>
      </c>
      <c r="E25" s="276">
        <v>30000</v>
      </c>
      <c r="F25" s="276">
        <v>15000</v>
      </c>
      <c r="G25" s="276"/>
      <c r="H25" s="276"/>
      <c r="I25" s="276">
        <v>140000</v>
      </c>
      <c r="J25" s="276"/>
      <c r="K25" s="276">
        <v>180000</v>
      </c>
      <c r="L25" s="276"/>
      <c r="M25" s="276"/>
      <c r="N25" s="276">
        <v>50000</v>
      </c>
    </row>
    <row r="26" spans="1:16" ht="15" customHeight="1" x14ac:dyDescent="0.15">
      <c r="C26" s="276"/>
      <c r="D26" s="276">
        <v>280000</v>
      </c>
      <c r="E26" s="276"/>
      <c r="F26" s="276"/>
      <c r="G26" s="276"/>
      <c r="H26" s="276"/>
      <c r="I26" s="276">
        <v>70000</v>
      </c>
      <c r="J26" s="276"/>
      <c r="K26" s="276"/>
      <c r="L26" s="276"/>
      <c r="M26" s="276"/>
      <c r="N26" s="276"/>
    </row>
    <row r="27" spans="1:16" ht="15" customHeight="1" x14ac:dyDescent="0.15">
      <c r="C27" s="276"/>
      <c r="D27" s="276">
        <v>100000</v>
      </c>
      <c r="E27" s="276"/>
      <c r="F27" s="276"/>
      <c r="G27" s="276"/>
      <c r="H27" s="276"/>
      <c r="I27" s="276">
        <v>30000</v>
      </c>
      <c r="J27" s="276"/>
      <c r="K27" s="276"/>
      <c r="L27" s="276"/>
      <c r="M27" s="276"/>
      <c r="N27" s="276"/>
    </row>
    <row r="28" spans="1:16" ht="15" customHeight="1" x14ac:dyDescent="0.15">
      <c r="C28" s="276"/>
      <c r="D28" s="276">
        <v>3000</v>
      </c>
      <c r="E28" s="276"/>
      <c r="F28" s="276"/>
      <c r="G28" s="276"/>
      <c r="H28" s="276"/>
      <c r="I28" s="276"/>
      <c r="J28" s="276"/>
      <c r="K28" s="276"/>
      <c r="L28" s="276"/>
      <c r="M28" s="276"/>
      <c r="N28" s="276"/>
    </row>
    <row r="29" spans="1:16" ht="15" customHeight="1" x14ac:dyDescent="0.15"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</row>
    <row r="30" spans="1:16" ht="15" customHeight="1" x14ac:dyDescent="0.15"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ht="15" customHeight="1" x14ac:dyDescent="0.15"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ht="15" customHeight="1" x14ac:dyDescent="0.15"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8" ht="15" customHeight="1" x14ac:dyDescent="0.15"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8" ht="15" customHeight="1" thickBot="1" x14ac:dyDescent="0.2"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</row>
    <row r="35" spans="1:18" ht="15" customHeight="1" thickBot="1" x14ac:dyDescent="0.2">
      <c r="A35" s="282" t="s">
        <v>92</v>
      </c>
      <c r="B35" s="283" t="s">
        <v>180</v>
      </c>
      <c r="C35" s="284">
        <f>SUM(C25:C34)</f>
        <v>0</v>
      </c>
      <c r="D35" s="284">
        <f t="shared" ref="D35" si="12">SUM(D25:D34)</f>
        <v>583000</v>
      </c>
      <c r="E35" s="284">
        <f t="shared" ref="E35" si="13">SUM(E25:E34)</f>
        <v>30000</v>
      </c>
      <c r="F35" s="284">
        <f t="shared" ref="F35" si="14">SUM(F25:F34)</f>
        <v>15000</v>
      </c>
      <c r="G35" s="284">
        <f t="shared" ref="G35" si="15">SUM(G25:G34)</f>
        <v>0</v>
      </c>
      <c r="H35" s="284">
        <f t="shared" ref="H35" si="16">SUM(H25:H34)</f>
        <v>0</v>
      </c>
      <c r="I35" s="284">
        <f t="shared" ref="I35" si="17">SUM(I25:I34)</f>
        <v>240000</v>
      </c>
      <c r="J35" s="284">
        <f t="shared" ref="J35" si="18">SUM(J25:J34)</f>
        <v>0</v>
      </c>
      <c r="K35" s="284">
        <f t="shared" ref="K35" si="19">SUM(K25:K34)</f>
        <v>180000</v>
      </c>
      <c r="L35" s="284">
        <f t="shared" ref="L35" si="20">SUM(L25:L34)</f>
        <v>0</v>
      </c>
      <c r="M35" s="284">
        <f t="shared" ref="M35" si="21">SUM(M25:M34)</f>
        <v>0</v>
      </c>
      <c r="N35" s="284">
        <f t="shared" ref="N35" si="22">SUM(N25:N34)</f>
        <v>50000</v>
      </c>
      <c r="P35" s="305">
        <f>SUM(C35:O35)</f>
        <v>1098000</v>
      </c>
      <c r="R35" s="276">
        <f>P7+P21+P35</f>
        <v>17189200</v>
      </c>
    </row>
  </sheetData>
  <phoneticPr fontId="2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151"/>
  <sheetViews>
    <sheetView zoomScaleNormal="100" workbookViewId="0">
      <pane xSplit="10" ySplit="6" topLeftCell="K47" activePane="bottomRight" state="frozen"/>
      <selection activeCell="K90" activeCellId="1" sqref="K56 K90"/>
      <selection pane="topRight" activeCell="K90" activeCellId="1" sqref="K56 K90"/>
      <selection pane="bottomLeft" activeCell="K90" activeCellId="1" sqref="K56 K90"/>
      <selection pane="bottomRight" activeCell="K88" sqref="K88"/>
    </sheetView>
  </sheetViews>
  <sheetFormatPr defaultRowHeight="13.5" x14ac:dyDescent="0.15"/>
  <cols>
    <col min="1" max="1" width="1.5" style="1" customWidth="1"/>
    <col min="2" max="2" width="2.125" style="1" customWidth="1"/>
    <col min="3" max="3" width="2.5" style="1" customWidth="1"/>
    <col min="4" max="4" width="1.625" style="1" customWidth="1"/>
    <col min="5" max="5" width="6.625" style="2" customWidth="1"/>
    <col min="6" max="6" width="6.5" style="2" customWidth="1"/>
    <col min="7" max="7" width="1.75" style="2" customWidth="1"/>
    <col min="8" max="8" width="10.25" style="2" customWidth="1"/>
    <col min="9" max="10" width="1.5" style="2" customWidth="1"/>
    <col min="11" max="11" width="10.75" style="2" customWidth="1"/>
    <col min="12" max="12" width="1.5" style="2" customWidth="1"/>
    <col min="13" max="13" width="11.125" style="3" customWidth="1"/>
    <col min="14" max="15" width="9.625" style="3" customWidth="1"/>
    <col min="16" max="18" width="10.25" style="4" customWidth="1"/>
    <col min="19" max="19" width="13.25" style="1" customWidth="1"/>
    <col min="20" max="20" width="9" style="1"/>
    <col min="21" max="21" width="13.375" style="1" customWidth="1"/>
    <col min="22" max="22" width="9" style="1"/>
    <col min="23" max="23" width="17.125" style="1" customWidth="1"/>
    <col min="24" max="253" width="9" style="1"/>
    <col min="254" max="254" width="1.5" style="1" customWidth="1"/>
    <col min="255" max="255" width="2.125" style="1" customWidth="1"/>
    <col min="256" max="256" width="2.5" style="1" customWidth="1"/>
    <col min="257" max="257" width="1.625" style="1" customWidth="1"/>
    <col min="258" max="258" width="6.625" style="1" customWidth="1"/>
    <col min="259" max="259" width="6.5" style="1" customWidth="1"/>
    <col min="260" max="260" width="1.75" style="1" customWidth="1"/>
    <col min="261" max="261" width="10.25" style="1" customWidth="1"/>
    <col min="262" max="263" width="1.5" style="1" customWidth="1"/>
    <col min="264" max="264" width="10.75" style="1" customWidth="1"/>
    <col min="265" max="265" width="1.5" style="1" customWidth="1"/>
    <col min="266" max="267" width="9.875" style="1" customWidth="1"/>
    <col min="268" max="270" width="9.625" style="1" customWidth="1"/>
    <col min="271" max="271" width="10" style="1" customWidth="1"/>
    <col min="272" max="274" width="10.25" style="1" customWidth="1"/>
    <col min="275" max="509" width="9" style="1"/>
    <col min="510" max="510" width="1.5" style="1" customWidth="1"/>
    <col min="511" max="511" width="2.125" style="1" customWidth="1"/>
    <col min="512" max="512" width="2.5" style="1" customWidth="1"/>
    <col min="513" max="513" width="1.625" style="1" customWidth="1"/>
    <col min="514" max="514" width="6.625" style="1" customWidth="1"/>
    <col min="515" max="515" width="6.5" style="1" customWidth="1"/>
    <col min="516" max="516" width="1.75" style="1" customWidth="1"/>
    <col min="517" max="517" width="10.25" style="1" customWidth="1"/>
    <col min="518" max="519" width="1.5" style="1" customWidth="1"/>
    <col min="520" max="520" width="10.75" style="1" customWidth="1"/>
    <col min="521" max="521" width="1.5" style="1" customWidth="1"/>
    <col min="522" max="523" width="9.875" style="1" customWidth="1"/>
    <col min="524" max="526" width="9.625" style="1" customWidth="1"/>
    <col min="527" max="527" width="10" style="1" customWidth="1"/>
    <col min="528" max="530" width="10.25" style="1" customWidth="1"/>
    <col min="531" max="765" width="9" style="1"/>
    <col min="766" max="766" width="1.5" style="1" customWidth="1"/>
    <col min="767" max="767" width="2.125" style="1" customWidth="1"/>
    <col min="768" max="768" width="2.5" style="1" customWidth="1"/>
    <col min="769" max="769" width="1.625" style="1" customWidth="1"/>
    <col min="770" max="770" width="6.625" style="1" customWidth="1"/>
    <col min="771" max="771" width="6.5" style="1" customWidth="1"/>
    <col min="772" max="772" width="1.75" style="1" customWidth="1"/>
    <col min="773" max="773" width="10.25" style="1" customWidth="1"/>
    <col min="774" max="775" width="1.5" style="1" customWidth="1"/>
    <col min="776" max="776" width="10.75" style="1" customWidth="1"/>
    <col min="777" max="777" width="1.5" style="1" customWidth="1"/>
    <col min="778" max="779" width="9.875" style="1" customWidth="1"/>
    <col min="780" max="782" width="9.625" style="1" customWidth="1"/>
    <col min="783" max="783" width="10" style="1" customWidth="1"/>
    <col min="784" max="786" width="10.25" style="1" customWidth="1"/>
    <col min="787" max="1021" width="9" style="1"/>
    <col min="1022" max="1022" width="1.5" style="1" customWidth="1"/>
    <col min="1023" max="1023" width="2.125" style="1" customWidth="1"/>
    <col min="1024" max="1024" width="2.5" style="1" customWidth="1"/>
    <col min="1025" max="1025" width="1.625" style="1" customWidth="1"/>
    <col min="1026" max="1026" width="6.625" style="1" customWidth="1"/>
    <col min="1027" max="1027" width="6.5" style="1" customWidth="1"/>
    <col min="1028" max="1028" width="1.75" style="1" customWidth="1"/>
    <col min="1029" max="1029" width="10.25" style="1" customWidth="1"/>
    <col min="1030" max="1031" width="1.5" style="1" customWidth="1"/>
    <col min="1032" max="1032" width="10.75" style="1" customWidth="1"/>
    <col min="1033" max="1033" width="1.5" style="1" customWidth="1"/>
    <col min="1034" max="1035" width="9.875" style="1" customWidth="1"/>
    <col min="1036" max="1038" width="9.625" style="1" customWidth="1"/>
    <col min="1039" max="1039" width="10" style="1" customWidth="1"/>
    <col min="1040" max="1042" width="10.25" style="1" customWidth="1"/>
    <col min="1043" max="1277" width="9" style="1"/>
    <col min="1278" max="1278" width="1.5" style="1" customWidth="1"/>
    <col min="1279" max="1279" width="2.125" style="1" customWidth="1"/>
    <col min="1280" max="1280" width="2.5" style="1" customWidth="1"/>
    <col min="1281" max="1281" width="1.625" style="1" customWidth="1"/>
    <col min="1282" max="1282" width="6.625" style="1" customWidth="1"/>
    <col min="1283" max="1283" width="6.5" style="1" customWidth="1"/>
    <col min="1284" max="1284" width="1.75" style="1" customWidth="1"/>
    <col min="1285" max="1285" width="10.25" style="1" customWidth="1"/>
    <col min="1286" max="1287" width="1.5" style="1" customWidth="1"/>
    <col min="1288" max="1288" width="10.75" style="1" customWidth="1"/>
    <col min="1289" max="1289" width="1.5" style="1" customWidth="1"/>
    <col min="1290" max="1291" width="9.875" style="1" customWidth="1"/>
    <col min="1292" max="1294" width="9.625" style="1" customWidth="1"/>
    <col min="1295" max="1295" width="10" style="1" customWidth="1"/>
    <col min="1296" max="1298" width="10.25" style="1" customWidth="1"/>
    <col min="1299" max="1533" width="9" style="1"/>
    <col min="1534" max="1534" width="1.5" style="1" customWidth="1"/>
    <col min="1535" max="1535" width="2.125" style="1" customWidth="1"/>
    <col min="1536" max="1536" width="2.5" style="1" customWidth="1"/>
    <col min="1537" max="1537" width="1.625" style="1" customWidth="1"/>
    <col min="1538" max="1538" width="6.625" style="1" customWidth="1"/>
    <col min="1539" max="1539" width="6.5" style="1" customWidth="1"/>
    <col min="1540" max="1540" width="1.75" style="1" customWidth="1"/>
    <col min="1541" max="1541" width="10.25" style="1" customWidth="1"/>
    <col min="1542" max="1543" width="1.5" style="1" customWidth="1"/>
    <col min="1544" max="1544" width="10.75" style="1" customWidth="1"/>
    <col min="1545" max="1545" width="1.5" style="1" customWidth="1"/>
    <col min="1546" max="1547" width="9.875" style="1" customWidth="1"/>
    <col min="1548" max="1550" width="9.625" style="1" customWidth="1"/>
    <col min="1551" max="1551" width="10" style="1" customWidth="1"/>
    <col min="1552" max="1554" width="10.25" style="1" customWidth="1"/>
    <col min="1555" max="1789" width="9" style="1"/>
    <col min="1790" max="1790" width="1.5" style="1" customWidth="1"/>
    <col min="1791" max="1791" width="2.125" style="1" customWidth="1"/>
    <col min="1792" max="1792" width="2.5" style="1" customWidth="1"/>
    <col min="1793" max="1793" width="1.625" style="1" customWidth="1"/>
    <col min="1794" max="1794" width="6.625" style="1" customWidth="1"/>
    <col min="1795" max="1795" width="6.5" style="1" customWidth="1"/>
    <col min="1796" max="1796" width="1.75" style="1" customWidth="1"/>
    <col min="1797" max="1797" width="10.25" style="1" customWidth="1"/>
    <col min="1798" max="1799" width="1.5" style="1" customWidth="1"/>
    <col min="1800" max="1800" width="10.75" style="1" customWidth="1"/>
    <col min="1801" max="1801" width="1.5" style="1" customWidth="1"/>
    <col min="1802" max="1803" width="9.875" style="1" customWidth="1"/>
    <col min="1804" max="1806" width="9.625" style="1" customWidth="1"/>
    <col min="1807" max="1807" width="10" style="1" customWidth="1"/>
    <col min="1808" max="1810" width="10.25" style="1" customWidth="1"/>
    <col min="1811" max="2045" width="9" style="1"/>
    <col min="2046" max="2046" width="1.5" style="1" customWidth="1"/>
    <col min="2047" max="2047" width="2.125" style="1" customWidth="1"/>
    <col min="2048" max="2048" width="2.5" style="1" customWidth="1"/>
    <col min="2049" max="2049" width="1.625" style="1" customWidth="1"/>
    <col min="2050" max="2050" width="6.625" style="1" customWidth="1"/>
    <col min="2051" max="2051" width="6.5" style="1" customWidth="1"/>
    <col min="2052" max="2052" width="1.75" style="1" customWidth="1"/>
    <col min="2053" max="2053" width="10.25" style="1" customWidth="1"/>
    <col min="2054" max="2055" width="1.5" style="1" customWidth="1"/>
    <col min="2056" max="2056" width="10.75" style="1" customWidth="1"/>
    <col min="2057" max="2057" width="1.5" style="1" customWidth="1"/>
    <col min="2058" max="2059" width="9.875" style="1" customWidth="1"/>
    <col min="2060" max="2062" width="9.625" style="1" customWidth="1"/>
    <col min="2063" max="2063" width="10" style="1" customWidth="1"/>
    <col min="2064" max="2066" width="10.25" style="1" customWidth="1"/>
    <col min="2067" max="2301" width="9" style="1"/>
    <col min="2302" max="2302" width="1.5" style="1" customWidth="1"/>
    <col min="2303" max="2303" width="2.125" style="1" customWidth="1"/>
    <col min="2304" max="2304" width="2.5" style="1" customWidth="1"/>
    <col min="2305" max="2305" width="1.625" style="1" customWidth="1"/>
    <col min="2306" max="2306" width="6.625" style="1" customWidth="1"/>
    <col min="2307" max="2307" width="6.5" style="1" customWidth="1"/>
    <col min="2308" max="2308" width="1.75" style="1" customWidth="1"/>
    <col min="2309" max="2309" width="10.25" style="1" customWidth="1"/>
    <col min="2310" max="2311" width="1.5" style="1" customWidth="1"/>
    <col min="2312" max="2312" width="10.75" style="1" customWidth="1"/>
    <col min="2313" max="2313" width="1.5" style="1" customWidth="1"/>
    <col min="2314" max="2315" width="9.875" style="1" customWidth="1"/>
    <col min="2316" max="2318" width="9.625" style="1" customWidth="1"/>
    <col min="2319" max="2319" width="10" style="1" customWidth="1"/>
    <col min="2320" max="2322" width="10.25" style="1" customWidth="1"/>
    <col min="2323" max="2557" width="9" style="1"/>
    <col min="2558" max="2558" width="1.5" style="1" customWidth="1"/>
    <col min="2559" max="2559" width="2.125" style="1" customWidth="1"/>
    <col min="2560" max="2560" width="2.5" style="1" customWidth="1"/>
    <col min="2561" max="2561" width="1.625" style="1" customWidth="1"/>
    <col min="2562" max="2562" width="6.625" style="1" customWidth="1"/>
    <col min="2563" max="2563" width="6.5" style="1" customWidth="1"/>
    <col min="2564" max="2564" width="1.75" style="1" customWidth="1"/>
    <col min="2565" max="2565" width="10.25" style="1" customWidth="1"/>
    <col min="2566" max="2567" width="1.5" style="1" customWidth="1"/>
    <col min="2568" max="2568" width="10.75" style="1" customWidth="1"/>
    <col min="2569" max="2569" width="1.5" style="1" customWidth="1"/>
    <col min="2570" max="2571" width="9.875" style="1" customWidth="1"/>
    <col min="2572" max="2574" width="9.625" style="1" customWidth="1"/>
    <col min="2575" max="2575" width="10" style="1" customWidth="1"/>
    <col min="2576" max="2578" width="10.25" style="1" customWidth="1"/>
    <col min="2579" max="2813" width="9" style="1"/>
    <col min="2814" max="2814" width="1.5" style="1" customWidth="1"/>
    <col min="2815" max="2815" width="2.125" style="1" customWidth="1"/>
    <col min="2816" max="2816" width="2.5" style="1" customWidth="1"/>
    <col min="2817" max="2817" width="1.625" style="1" customWidth="1"/>
    <col min="2818" max="2818" width="6.625" style="1" customWidth="1"/>
    <col min="2819" max="2819" width="6.5" style="1" customWidth="1"/>
    <col min="2820" max="2820" width="1.75" style="1" customWidth="1"/>
    <col min="2821" max="2821" width="10.25" style="1" customWidth="1"/>
    <col min="2822" max="2823" width="1.5" style="1" customWidth="1"/>
    <col min="2824" max="2824" width="10.75" style="1" customWidth="1"/>
    <col min="2825" max="2825" width="1.5" style="1" customWidth="1"/>
    <col min="2826" max="2827" width="9.875" style="1" customWidth="1"/>
    <col min="2828" max="2830" width="9.625" style="1" customWidth="1"/>
    <col min="2831" max="2831" width="10" style="1" customWidth="1"/>
    <col min="2832" max="2834" width="10.25" style="1" customWidth="1"/>
    <col min="2835" max="3069" width="9" style="1"/>
    <col min="3070" max="3070" width="1.5" style="1" customWidth="1"/>
    <col min="3071" max="3071" width="2.125" style="1" customWidth="1"/>
    <col min="3072" max="3072" width="2.5" style="1" customWidth="1"/>
    <col min="3073" max="3073" width="1.625" style="1" customWidth="1"/>
    <col min="3074" max="3074" width="6.625" style="1" customWidth="1"/>
    <col min="3075" max="3075" width="6.5" style="1" customWidth="1"/>
    <col min="3076" max="3076" width="1.75" style="1" customWidth="1"/>
    <col min="3077" max="3077" width="10.25" style="1" customWidth="1"/>
    <col min="3078" max="3079" width="1.5" style="1" customWidth="1"/>
    <col min="3080" max="3080" width="10.75" style="1" customWidth="1"/>
    <col min="3081" max="3081" width="1.5" style="1" customWidth="1"/>
    <col min="3082" max="3083" width="9.875" style="1" customWidth="1"/>
    <col min="3084" max="3086" width="9.625" style="1" customWidth="1"/>
    <col min="3087" max="3087" width="10" style="1" customWidth="1"/>
    <col min="3088" max="3090" width="10.25" style="1" customWidth="1"/>
    <col min="3091" max="3325" width="9" style="1"/>
    <col min="3326" max="3326" width="1.5" style="1" customWidth="1"/>
    <col min="3327" max="3327" width="2.125" style="1" customWidth="1"/>
    <col min="3328" max="3328" width="2.5" style="1" customWidth="1"/>
    <col min="3329" max="3329" width="1.625" style="1" customWidth="1"/>
    <col min="3330" max="3330" width="6.625" style="1" customWidth="1"/>
    <col min="3331" max="3331" width="6.5" style="1" customWidth="1"/>
    <col min="3332" max="3332" width="1.75" style="1" customWidth="1"/>
    <col min="3333" max="3333" width="10.25" style="1" customWidth="1"/>
    <col min="3334" max="3335" width="1.5" style="1" customWidth="1"/>
    <col min="3336" max="3336" width="10.75" style="1" customWidth="1"/>
    <col min="3337" max="3337" width="1.5" style="1" customWidth="1"/>
    <col min="3338" max="3339" width="9.875" style="1" customWidth="1"/>
    <col min="3340" max="3342" width="9.625" style="1" customWidth="1"/>
    <col min="3343" max="3343" width="10" style="1" customWidth="1"/>
    <col min="3344" max="3346" width="10.25" style="1" customWidth="1"/>
    <col min="3347" max="3581" width="9" style="1"/>
    <col min="3582" max="3582" width="1.5" style="1" customWidth="1"/>
    <col min="3583" max="3583" width="2.125" style="1" customWidth="1"/>
    <col min="3584" max="3584" width="2.5" style="1" customWidth="1"/>
    <col min="3585" max="3585" width="1.625" style="1" customWidth="1"/>
    <col min="3586" max="3586" width="6.625" style="1" customWidth="1"/>
    <col min="3587" max="3587" width="6.5" style="1" customWidth="1"/>
    <col min="3588" max="3588" width="1.75" style="1" customWidth="1"/>
    <col min="3589" max="3589" width="10.25" style="1" customWidth="1"/>
    <col min="3590" max="3591" width="1.5" style="1" customWidth="1"/>
    <col min="3592" max="3592" width="10.75" style="1" customWidth="1"/>
    <col min="3593" max="3593" width="1.5" style="1" customWidth="1"/>
    <col min="3594" max="3595" width="9.875" style="1" customWidth="1"/>
    <col min="3596" max="3598" width="9.625" style="1" customWidth="1"/>
    <col min="3599" max="3599" width="10" style="1" customWidth="1"/>
    <col min="3600" max="3602" width="10.25" style="1" customWidth="1"/>
    <col min="3603" max="3837" width="9" style="1"/>
    <col min="3838" max="3838" width="1.5" style="1" customWidth="1"/>
    <col min="3839" max="3839" width="2.125" style="1" customWidth="1"/>
    <col min="3840" max="3840" width="2.5" style="1" customWidth="1"/>
    <col min="3841" max="3841" width="1.625" style="1" customWidth="1"/>
    <col min="3842" max="3842" width="6.625" style="1" customWidth="1"/>
    <col min="3843" max="3843" width="6.5" style="1" customWidth="1"/>
    <col min="3844" max="3844" width="1.75" style="1" customWidth="1"/>
    <col min="3845" max="3845" width="10.25" style="1" customWidth="1"/>
    <col min="3846" max="3847" width="1.5" style="1" customWidth="1"/>
    <col min="3848" max="3848" width="10.75" style="1" customWidth="1"/>
    <col min="3849" max="3849" width="1.5" style="1" customWidth="1"/>
    <col min="3850" max="3851" width="9.875" style="1" customWidth="1"/>
    <col min="3852" max="3854" width="9.625" style="1" customWidth="1"/>
    <col min="3855" max="3855" width="10" style="1" customWidth="1"/>
    <col min="3856" max="3858" width="10.25" style="1" customWidth="1"/>
    <col min="3859" max="4093" width="9" style="1"/>
    <col min="4094" max="4094" width="1.5" style="1" customWidth="1"/>
    <col min="4095" max="4095" width="2.125" style="1" customWidth="1"/>
    <col min="4096" max="4096" width="2.5" style="1" customWidth="1"/>
    <col min="4097" max="4097" width="1.625" style="1" customWidth="1"/>
    <col min="4098" max="4098" width="6.625" style="1" customWidth="1"/>
    <col min="4099" max="4099" width="6.5" style="1" customWidth="1"/>
    <col min="4100" max="4100" width="1.75" style="1" customWidth="1"/>
    <col min="4101" max="4101" width="10.25" style="1" customWidth="1"/>
    <col min="4102" max="4103" width="1.5" style="1" customWidth="1"/>
    <col min="4104" max="4104" width="10.75" style="1" customWidth="1"/>
    <col min="4105" max="4105" width="1.5" style="1" customWidth="1"/>
    <col min="4106" max="4107" width="9.875" style="1" customWidth="1"/>
    <col min="4108" max="4110" width="9.625" style="1" customWidth="1"/>
    <col min="4111" max="4111" width="10" style="1" customWidth="1"/>
    <col min="4112" max="4114" width="10.25" style="1" customWidth="1"/>
    <col min="4115" max="4349" width="9" style="1"/>
    <col min="4350" max="4350" width="1.5" style="1" customWidth="1"/>
    <col min="4351" max="4351" width="2.125" style="1" customWidth="1"/>
    <col min="4352" max="4352" width="2.5" style="1" customWidth="1"/>
    <col min="4353" max="4353" width="1.625" style="1" customWidth="1"/>
    <col min="4354" max="4354" width="6.625" style="1" customWidth="1"/>
    <col min="4355" max="4355" width="6.5" style="1" customWidth="1"/>
    <col min="4356" max="4356" width="1.75" style="1" customWidth="1"/>
    <col min="4357" max="4357" width="10.25" style="1" customWidth="1"/>
    <col min="4358" max="4359" width="1.5" style="1" customWidth="1"/>
    <col min="4360" max="4360" width="10.75" style="1" customWidth="1"/>
    <col min="4361" max="4361" width="1.5" style="1" customWidth="1"/>
    <col min="4362" max="4363" width="9.875" style="1" customWidth="1"/>
    <col min="4364" max="4366" width="9.625" style="1" customWidth="1"/>
    <col min="4367" max="4367" width="10" style="1" customWidth="1"/>
    <col min="4368" max="4370" width="10.25" style="1" customWidth="1"/>
    <col min="4371" max="4605" width="9" style="1"/>
    <col min="4606" max="4606" width="1.5" style="1" customWidth="1"/>
    <col min="4607" max="4607" width="2.125" style="1" customWidth="1"/>
    <col min="4608" max="4608" width="2.5" style="1" customWidth="1"/>
    <col min="4609" max="4609" width="1.625" style="1" customWidth="1"/>
    <col min="4610" max="4610" width="6.625" style="1" customWidth="1"/>
    <col min="4611" max="4611" width="6.5" style="1" customWidth="1"/>
    <col min="4612" max="4612" width="1.75" style="1" customWidth="1"/>
    <col min="4613" max="4613" width="10.25" style="1" customWidth="1"/>
    <col min="4614" max="4615" width="1.5" style="1" customWidth="1"/>
    <col min="4616" max="4616" width="10.75" style="1" customWidth="1"/>
    <col min="4617" max="4617" width="1.5" style="1" customWidth="1"/>
    <col min="4618" max="4619" width="9.875" style="1" customWidth="1"/>
    <col min="4620" max="4622" width="9.625" style="1" customWidth="1"/>
    <col min="4623" max="4623" width="10" style="1" customWidth="1"/>
    <col min="4624" max="4626" width="10.25" style="1" customWidth="1"/>
    <col min="4627" max="4861" width="9" style="1"/>
    <col min="4862" max="4862" width="1.5" style="1" customWidth="1"/>
    <col min="4863" max="4863" width="2.125" style="1" customWidth="1"/>
    <col min="4864" max="4864" width="2.5" style="1" customWidth="1"/>
    <col min="4865" max="4865" width="1.625" style="1" customWidth="1"/>
    <col min="4866" max="4866" width="6.625" style="1" customWidth="1"/>
    <col min="4867" max="4867" width="6.5" style="1" customWidth="1"/>
    <col min="4868" max="4868" width="1.75" style="1" customWidth="1"/>
    <col min="4869" max="4869" width="10.25" style="1" customWidth="1"/>
    <col min="4870" max="4871" width="1.5" style="1" customWidth="1"/>
    <col min="4872" max="4872" width="10.75" style="1" customWidth="1"/>
    <col min="4873" max="4873" width="1.5" style="1" customWidth="1"/>
    <col min="4874" max="4875" width="9.875" style="1" customWidth="1"/>
    <col min="4876" max="4878" width="9.625" style="1" customWidth="1"/>
    <col min="4879" max="4879" width="10" style="1" customWidth="1"/>
    <col min="4880" max="4882" width="10.25" style="1" customWidth="1"/>
    <col min="4883" max="5117" width="9" style="1"/>
    <col min="5118" max="5118" width="1.5" style="1" customWidth="1"/>
    <col min="5119" max="5119" width="2.125" style="1" customWidth="1"/>
    <col min="5120" max="5120" width="2.5" style="1" customWidth="1"/>
    <col min="5121" max="5121" width="1.625" style="1" customWidth="1"/>
    <col min="5122" max="5122" width="6.625" style="1" customWidth="1"/>
    <col min="5123" max="5123" width="6.5" style="1" customWidth="1"/>
    <col min="5124" max="5124" width="1.75" style="1" customWidth="1"/>
    <col min="5125" max="5125" width="10.25" style="1" customWidth="1"/>
    <col min="5126" max="5127" width="1.5" style="1" customWidth="1"/>
    <col min="5128" max="5128" width="10.75" style="1" customWidth="1"/>
    <col min="5129" max="5129" width="1.5" style="1" customWidth="1"/>
    <col min="5130" max="5131" width="9.875" style="1" customWidth="1"/>
    <col min="5132" max="5134" width="9.625" style="1" customWidth="1"/>
    <col min="5135" max="5135" width="10" style="1" customWidth="1"/>
    <col min="5136" max="5138" width="10.25" style="1" customWidth="1"/>
    <col min="5139" max="5373" width="9" style="1"/>
    <col min="5374" max="5374" width="1.5" style="1" customWidth="1"/>
    <col min="5375" max="5375" width="2.125" style="1" customWidth="1"/>
    <col min="5376" max="5376" width="2.5" style="1" customWidth="1"/>
    <col min="5377" max="5377" width="1.625" style="1" customWidth="1"/>
    <col min="5378" max="5378" width="6.625" style="1" customWidth="1"/>
    <col min="5379" max="5379" width="6.5" style="1" customWidth="1"/>
    <col min="5380" max="5380" width="1.75" style="1" customWidth="1"/>
    <col min="5381" max="5381" width="10.25" style="1" customWidth="1"/>
    <col min="5382" max="5383" width="1.5" style="1" customWidth="1"/>
    <col min="5384" max="5384" width="10.75" style="1" customWidth="1"/>
    <col min="5385" max="5385" width="1.5" style="1" customWidth="1"/>
    <col min="5386" max="5387" width="9.875" style="1" customWidth="1"/>
    <col min="5388" max="5390" width="9.625" style="1" customWidth="1"/>
    <col min="5391" max="5391" width="10" style="1" customWidth="1"/>
    <col min="5392" max="5394" width="10.25" style="1" customWidth="1"/>
    <col min="5395" max="5629" width="9" style="1"/>
    <col min="5630" max="5630" width="1.5" style="1" customWidth="1"/>
    <col min="5631" max="5631" width="2.125" style="1" customWidth="1"/>
    <col min="5632" max="5632" width="2.5" style="1" customWidth="1"/>
    <col min="5633" max="5633" width="1.625" style="1" customWidth="1"/>
    <col min="5634" max="5634" width="6.625" style="1" customWidth="1"/>
    <col min="5635" max="5635" width="6.5" style="1" customWidth="1"/>
    <col min="5636" max="5636" width="1.75" style="1" customWidth="1"/>
    <col min="5637" max="5637" width="10.25" style="1" customWidth="1"/>
    <col min="5638" max="5639" width="1.5" style="1" customWidth="1"/>
    <col min="5640" max="5640" width="10.75" style="1" customWidth="1"/>
    <col min="5641" max="5641" width="1.5" style="1" customWidth="1"/>
    <col min="5642" max="5643" width="9.875" style="1" customWidth="1"/>
    <col min="5644" max="5646" width="9.625" style="1" customWidth="1"/>
    <col min="5647" max="5647" width="10" style="1" customWidth="1"/>
    <col min="5648" max="5650" width="10.25" style="1" customWidth="1"/>
    <col min="5651" max="5885" width="9" style="1"/>
    <col min="5886" max="5886" width="1.5" style="1" customWidth="1"/>
    <col min="5887" max="5887" width="2.125" style="1" customWidth="1"/>
    <col min="5888" max="5888" width="2.5" style="1" customWidth="1"/>
    <col min="5889" max="5889" width="1.625" style="1" customWidth="1"/>
    <col min="5890" max="5890" width="6.625" style="1" customWidth="1"/>
    <col min="5891" max="5891" width="6.5" style="1" customWidth="1"/>
    <col min="5892" max="5892" width="1.75" style="1" customWidth="1"/>
    <col min="5893" max="5893" width="10.25" style="1" customWidth="1"/>
    <col min="5894" max="5895" width="1.5" style="1" customWidth="1"/>
    <col min="5896" max="5896" width="10.75" style="1" customWidth="1"/>
    <col min="5897" max="5897" width="1.5" style="1" customWidth="1"/>
    <col min="5898" max="5899" width="9.875" style="1" customWidth="1"/>
    <col min="5900" max="5902" width="9.625" style="1" customWidth="1"/>
    <col min="5903" max="5903" width="10" style="1" customWidth="1"/>
    <col min="5904" max="5906" width="10.25" style="1" customWidth="1"/>
    <col min="5907" max="6141" width="9" style="1"/>
    <col min="6142" max="6142" width="1.5" style="1" customWidth="1"/>
    <col min="6143" max="6143" width="2.125" style="1" customWidth="1"/>
    <col min="6144" max="6144" width="2.5" style="1" customWidth="1"/>
    <col min="6145" max="6145" width="1.625" style="1" customWidth="1"/>
    <col min="6146" max="6146" width="6.625" style="1" customWidth="1"/>
    <col min="6147" max="6147" width="6.5" style="1" customWidth="1"/>
    <col min="6148" max="6148" width="1.75" style="1" customWidth="1"/>
    <col min="6149" max="6149" width="10.25" style="1" customWidth="1"/>
    <col min="6150" max="6151" width="1.5" style="1" customWidth="1"/>
    <col min="6152" max="6152" width="10.75" style="1" customWidth="1"/>
    <col min="6153" max="6153" width="1.5" style="1" customWidth="1"/>
    <col min="6154" max="6155" width="9.875" style="1" customWidth="1"/>
    <col min="6156" max="6158" width="9.625" style="1" customWidth="1"/>
    <col min="6159" max="6159" width="10" style="1" customWidth="1"/>
    <col min="6160" max="6162" width="10.25" style="1" customWidth="1"/>
    <col min="6163" max="6397" width="9" style="1"/>
    <col min="6398" max="6398" width="1.5" style="1" customWidth="1"/>
    <col min="6399" max="6399" width="2.125" style="1" customWidth="1"/>
    <col min="6400" max="6400" width="2.5" style="1" customWidth="1"/>
    <col min="6401" max="6401" width="1.625" style="1" customWidth="1"/>
    <col min="6402" max="6402" width="6.625" style="1" customWidth="1"/>
    <col min="6403" max="6403" width="6.5" style="1" customWidth="1"/>
    <col min="6404" max="6404" width="1.75" style="1" customWidth="1"/>
    <col min="6405" max="6405" width="10.25" style="1" customWidth="1"/>
    <col min="6406" max="6407" width="1.5" style="1" customWidth="1"/>
    <col min="6408" max="6408" width="10.75" style="1" customWidth="1"/>
    <col min="6409" max="6409" width="1.5" style="1" customWidth="1"/>
    <col min="6410" max="6411" width="9.875" style="1" customWidth="1"/>
    <col min="6412" max="6414" width="9.625" style="1" customWidth="1"/>
    <col min="6415" max="6415" width="10" style="1" customWidth="1"/>
    <col min="6416" max="6418" width="10.25" style="1" customWidth="1"/>
    <col min="6419" max="6653" width="9" style="1"/>
    <col min="6654" max="6654" width="1.5" style="1" customWidth="1"/>
    <col min="6655" max="6655" width="2.125" style="1" customWidth="1"/>
    <col min="6656" max="6656" width="2.5" style="1" customWidth="1"/>
    <col min="6657" max="6657" width="1.625" style="1" customWidth="1"/>
    <col min="6658" max="6658" width="6.625" style="1" customWidth="1"/>
    <col min="6659" max="6659" width="6.5" style="1" customWidth="1"/>
    <col min="6660" max="6660" width="1.75" style="1" customWidth="1"/>
    <col min="6661" max="6661" width="10.25" style="1" customWidth="1"/>
    <col min="6662" max="6663" width="1.5" style="1" customWidth="1"/>
    <col min="6664" max="6664" width="10.75" style="1" customWidth="1"/>
    <col min="6665" max="6665" width="1.5" style="1" customWidth="1"/>
    <col min="6666" max="6667" width="9.875" style="1" customWidth="1"/>
    <col min="6668" max="6670" width="9.625" style="1" customWidth="1"/>
    <col min="6671" max="6671" width="10" style="1" customWidth="1"/>
    <col min="6672" max="6674" width="10.25" style="1" customWidth="1"/>
    <col min="6675" max="6909" width="9" style="1"/>
    <col min="6910" max="6910" width="1.5" style="1" customWidth="1"/>
    <col min="6911" max="6911" width="2.125" style="1" customWidth="1"/>
    <col min="6912" max="6912" width="2.5" style="1" customWidth="1"/>
    <col min="6913" max="6913" width="1.625" style="1" customWidth="1"/>
    <col min="6914" max="6914" width="6.625" style="1" customWidth="1"/>
    <col min="6915" max="6915" width="6.5" style="1" customWidth="1"/>
    <col min="6916" max="6916" width="1.75" style="1" customWidth="1"/>
    <col min="6917" max="6917" width="10.25" style="1" customWidth="1"/>
    <col min="6918" max="6919" width="1.5" style="1" customWidth="1"/>
    <col min="6920" max="6920" width="10.75" style="1" customWidth="1"/>
    <col min="6921" max="6921" width="1.5" style="1" customWidth="1"/>
    <col min="6922" max="6923" width="9.875" style="1" customWidth="1"/>
    <col min="6924" max="6926" width="9.625" style="1" customWidth="1"/>
    <col min="6927" max="6927" width="10" style="1" customWidth="1"/>
    <col min="6928" max="6930" width="10.25" style="1" customWidth="1"/>
    <col min="6931" max="7165" width="9" style="1"/>
    <col min="7166" max="7166" width="1.5" style="1" customWidth="1"/>
    <col min="7167" max="7167" width="2.125" style="1" customWidth="1"/>
    <col min="7168" max="7168" width="2.5" style="1" customWidth="1"/>
    <col min="7169" max="7169" width="1.625" style="1" customWidth="1"/>
    <col min="7170" max="7170" width="6.625" style="1" customWidth="1"/>
    <col min="7171" max="7171" width="6.5" style="1" customWidth="1"/>
    <col min="7172" max="7172" width="1.75" style="1" customWidth="1"/>
    <col min="7173" max="7173" width="10.25" style="1" customWidth="1"/>
    <col min="7174" max="7175" width="1.5" style="1" customWidth="1"/>
    <col min="7176" max="7176" width="10.75" style="1" customWidth="1"/>
    <col min="7177" max="7177" width="1.5" style="1" customWidth="1"/>
    <col min="7178" max="7179" width="9.875" style="1" customWidth="1"/>
    <col min="7180" max="7182" width="9.625" style="1" customWidth="1"/>
    <col min="7183" max="7183" width="10" style="1" customWidth="1"/>
    <col min="7184" max="7186" width="10.25" style="1" customWidth="1"/>
    <col min="7187" max="7421" width="9" style="1"/>
    <col min="7422" max="7422" width="1.5" style="1" customWidth="1"/>
    <col min="7423" max="7423" width="2.125" style="1" customWidth="1"/>
    <col min="7424" max="7424" width="2.5" style="1" customWidth="1"/>
    <col min="7425" max="7425" width="1.625" style="1" customWidth="1"/>
    <col min="7426" max="7426" width="6.625" style="1" customWidth="1"/>
    <col min="7427" max="7427" width="6.5" style="1" customWidth="1"/>
    <col min="7428" max="7428" width="1.75" style="1" customWidth="1"/>
    <col min="7429" max="7429" width="10.25" style="1" customWidth="1"/>
    <col min="7430" max="7431" width="1.5" style="1" customWidth="1"/>
    <col min="7432" max="7432" width="10.75" style="1" customWidth="1"/>
    <col min="7433" max="7433" width="1.5" style="1" customWidth="1"/>
    <col min="7434" max="7435" width="9.875" style="1" customWidth="1"/>
    <col min="7436" max="7438" width="9.625" style="1" customWidth="1"/>
    <col min="7439" max="7439" width="10" style="1" customWidth="1"/>
    <col min="7440" max="7442" width="10.25" style="1" customWidth="1"/>
    <col min="7443" max="7677" width="9" style="1"/>
    <col min="7678" max="7678" width="1.5" style="1" customWidth="1"/>
    <col min="7679" max="7679" width="2.125" style="1" customWidth="1"/>
    <col min="7680" max="7680" width="2.5" style="1" customWidth="1"/>
    <col min="7681" max="7681" width="1.625" style="1" customWidth="1"/>
    <col min="7682" max="7682" width="6.625" style="1" customWidth="1"/>
    <col min="7683" max="7683" width="6.5" style="1" customWidth="1"/>
    <col min="7684" max="7684" width="1.75" style="1" customWidth="1"/>
    <col min="7685" max="7685" width="10.25" style="1" customWidth="1"/>
    <col min="7686" max="7687" width="1.5" style="1" customWidth="1"/>
    <col min="7688" max="7688" width="10.75" style="1" customWidth="1"/>
    <col min="7689" max="7689" width="1.5" style="1" customWidth="1"/>
    <col min="7690" max="7691" width="9.875" style="1" customWidth="1"/>
    <col min="7692" max="7694" width="9.625" style="1" customWidth="1"/>
    <col min="7695" max="7695" width="10" style="1" customWidth="1"/>
    <col min="7696" max="7698" width="10.25" style="1" customWidth="1"/>
    <col min="7699" max="7933" width="9" style="1"/>
    <col min="7934" max="7934" width="1.5" style="1" customWidth="1"/>
    <col min="7935" max="7935" width="2.125" style="1" customWidth="1"/>
    <col min="7936" max="7936" width="2.5" style="1" customWidth="1"/>
    <col min="7937" max="7937" width="1.625" style="1" customWidth="1"/>
    <col min="7938" max="7938" width="6.625" style="1" customWidth="1"/>
    <col min="7939" max="7939" width="6.5" style="1" customWidth="1"/>
    <col min="7940" max="7940" width="1.75" style="1" customWidth="1"/>
    <col min="7941" max="7941" width="10.25" style="1" customWidth="1"/>
    <col min="7942" max="7943" width="1.5" style="1" customWidth="1"/>
    <col min="7944" max="7944" width="10.75" style="1" customWidth="1"/>
    <col min="7945" max="7945" width="1.5" style="1" customWidth="1"/>
    <col min="7946" max="7947" width="9.875" style="1" customWidth="1"/>
    <col min="7948" max="7950" width="9.625" style="1" customWidth="1"/>
    <col min="7951" max="7951" width="10" style="1" customWidth="1"/>
    <col min="7952" max="7954" width="10.25" style="1" customWidth="1"/>
    <col min="7955" max="8189" width="9" style="1"/>
    <col min="8190" max="8190" width="1.5" style="1" customWidth="1"/>
    <col min="8191" max="8191" width="2.125" style="1" customWidth="1"/>
    <col min="8192" max="8192" width="2.5" style="1" customWidth="1"/>
    <col min="8193" max="8193" width="1.625" style="1" customWidth="1"/>
    <col min="8194" max="8194" width="6.625" style="1" customWidth="1"/>
    <col min="8195" max="8195" width="6.5" style="1" customWidth="1"/>
    <col min="8196" max="8196" width="1.75" style="1" customWidth="1"/>
    <col min="8197" max="8197" width="10.25" style="1" customWidth="1"/>
    <col min="8198" max="8199" width="1.5" style="1" customWidth="1"/>
    <col min="8200" max="8200" width="10.75" style="1" customWidth="1"/>
    <col min="8201" max="8201" width="1.5" style="1" customWidth="1"/>
    <col min="8202" max="8203" width="9.875" style="1" customWidth="1"/>
    <col min="8204" max="8206" width="9.625" style="1" customWidth="1"/>
    <col min="8207" max="8207" width="10" style="1" customWidth="1"/>
    <col min="8208" max="8210" width="10.25" style="1" customWidth="1"/>
    <col min="8211" max="8445" width="9" style="1"/>
    <col min="8446" max="8446" width="1.5" style="1" customWidth="1"/>
    <col min="8447" max="8447" width="2.125" style="1" customWidth="1"/>
    <col min="8448" max="8448" width="2.5" style="1" customWidth="1"/>
    <col min="8449" max="8449" width="1.625" style="1" customWidth="1"/>
    <col min="8450" max="8450" width="6.625" style="1" customWidth="1"/>
    <col min="8451" max="8451" width="6.5" style="1" customWidth="1"/>
    <col min="8452" max="8452" width="1.75" style="1" customWidth="1"/>
    <col min="8453" max="8453" width="10.25" style="1" customWidth="1"/>
    <col min="8454" max="8455" width="1.5" style="1" customWidth="1"/>
    <col min="8456" max="8456" width="10.75" style="1" customWidth="1"/>
    <col min="8457" max="8457" width="1.5" style="1" customWidth="1"/>
    <col min="8458" max="8459" width="9.875" style="1" customWidth="1"/>
    <col min="8460" max="8462" width="9.625" style="1" customWidth="1"/>
    <col min="8463" max="8463" width="10" style="1" customWidth="1"/>
    <col min="8464" max="8466" width="10.25" style="1" customWidth="1"/>
    <col min="8467" max="8701" width="9" style="1"/>
    <col min="8702" max="8702" width="1.5" style="1" customWidth="1"/>
    <col min="8703" max="8703" width="2.125" style="1" customWidth="1"/>
    <col min="8704" max="8704" width="2.5" style="1" customWidth="1"/>
    <col min="8705" max="8705" width="1.625" style="1" customWidth="1"/>
    <col min="8706" max="8706" width="6.625" style="1" customWidth="1"/>
    <col min="8707" max="8707" width="6.5" style="1" customWidth="1"/>
    <col min="8708" max="8708" width="1.75" style="1" customWidth="1"/>
    <col min="8709" max="8709" width="10.25" style="1" customWidth="1"/>
    <col min="8710" max="8711" width="1.5" style="1" customWidth="1"/>
    <col min="8712" max="8712" width="10.75" style="1" customWidth="1"/>
    <col min="8713" max="8713" width="1.5" style="1" customWidth="1"/>
    <col min="8714" max="8715" width="9.875" style="1" customWidth="1"/>
    <col min="8716" max="8718" width="9.625" style="1" customWidth="1"/>
    <col min="8719" max="8719" width="10" style="1" customWidth="1"/>
    <col min="8720" max="8722" width="10.25" style="1" customWidth="1"/>
    <col min="8723" max="8957" width="9" style="1"/>
    <col min="8958" max="8958" width="1.5" style="1" customWidth="1"/>
    <col min="8959" max="8959" width="2.125" style="1" customWidth="1"/>
    <col min="8960" max="8960" width="2.5" style="1" customWidth="1"/>
    <col min="8961" max="8961" width="1.625" style="1" customWidth="1"/>
    <col min="8962" max="8962" width="6.625" style="1" customWidth="1"/>
    <col min="8963" max="8963" width="6.5" style="1" customWidth="1"/>
    <col min="8964" max="8964" width="1.75" style="1" customWidth="1"/>
    <col min="8965" max="8965" width="10.25" style="1" customWidth="1"/>
    <col min="8966" max="8967" width="1.5" style="1" customWidth="1"/>
    <col min="8968" max="8968" width="10.75" style="1" customWidth="1"/>
    <col min="8969" max="8969" width="1.5" style="1" customWidth="1"/>
    <col min="8970" max="8971" width="9.875" style="1" customWidth="1"/>
    <col min="8972" max="8974" width="9.625" style="1" customWidth="1"/>
    <col min="8975" max="8975" width="10" style="1" customWidth="1"/>
    <col min="8976" max="8978" width="10.25" style="1" customWidth="1"/>
    <col min="8979" max="9213" width="9" style="1"/>
    <col min="9214" max="9214" width="1.5" style="1" customWidth="1"/>
    <col min="9215" max="9215" width="2.125" style="1" customWidth="1"/>
    <col min="9216" max="9216" width="2.5" style="1" customWidth="1"/>
    <col min="9217" max="9217" width="1.625" style="1" customWidth="1"/>
    <col min="9218" max="9218" width="6.625" style="1" customWidth="1"/>
    <col min="9219" max="9219" width="6.5" style="1" customWidth="1"/>
    <col min="9220" max="9220" width="1.75" style="1" customWidth="1"/>
    <col min="9221" max="9221" width="10.25" style="1" customWidth="1"/>
    <col min="9222" max="9223" width="1.5" style="1" customWidth="1"/>
    <col min="9224" max="9224" width="10.75" style="1" customWidth="1"/>
    <col min="9225" max="9225" width="1.5" style="1" customWidth="1"/>
    <col min="9226" max="9227" width="9.875" style="1" customWidth="1"/>
    <col min="9228" max="9230" width="9.625" style="1" customWidth="1"/>
    <col min="9231" max="9231" width="10" style="1" customWidth="1"/>
    <col min="9232" max="9234" width="10.25" style="1" customWidth="1"/>
    <col min="9235" max="9469" width="9" style="1"/>
    <col min="9470" max="9470" width="1.5" style="1" customWidth="1"/>
    <col min="9471" max="9471" width="2.125" style="1" customWidth="1"/>
    <col min="9472" max="9472" width="2.5" style="1" customWidth="1"/>
    <col min="9473" max="9473" width="1.625" style="1" customWidth="1"/>
    <col min="9474" max="9474" width="6.625" style="1" customWidth="1"/>
    <col min="9475" max="9475" width="6.5" style="1" customWidth="1"/>
    <col min="9476" max="9476" width="1.75" style="1" customWidth="1"/>
    <col min="9477" max="9477" width="10.25" style="1" customWidth="1"/>
    <col min="9478" max="9479" width="1.5" style="1" customWidth="1"/>
    <col min="9480" max="9480" width="10.75" style="1" customWidth="1"/>
    <col min="9481" max="9481" width="1.5" style="1" customWidth="1"/>
    <col min="9482" max="9483" width="9.875" style="1" customWidth="1"/>
    <col min="9484" max="9486" width="9.625" style="1" customWidth="1"/>
    <col min="9487" max="9487" width="10" style="1" customWidth="1"/>
    <col min="9488" max="9490" width="10.25" style="1" customWidth="1"/>
    <col min="9491" max="9725" width="9" style="1"/>
    <col min="9726" max="9726" width="1.5" style="1" customWidth="1"/>
    <col min="9727" max="9727" width="2.125" style="1" customWidth="1"/>
    <col min="9728" max="9728" width="2.5" style="1" customWidth="1"/>
    <col min="9729" max="9729" width="1.625" style="1" customWidth="1"/>
    <col min="9730" max="9730" width="6.625" style="1" customWidth="1"/>
    <col min="9731" max="9731" width="6.5" style="1" customWidth="1"/>
    <col min="9732" max="9732" width="1.75" style="1" customWidth="1"/>
    <col min="9733" max="9733" width="10.25" style="1" customWidth="1"/>
    <col min="9734" max="9735" width="1.5" style="1" customWidth="1"/>
    <col min="9736" max="9736" width="10.75" style="1" customWidth="1"/>
    <col min="9737" max="9737" width="1.5" style="1" customWidth="1"/>
    <col min="9738" max="9739" width="9.875" style="1" customWidth="1"/>
    <col min="9740" max="9742" width="9.625" style="1" customWidth="1"/>
    <col min="9743" max="9743" width="10" style="1" customWidth="1"/>
    <col min="9744" max="9746" width="10.25" style="1" customWidth="1"/>
    <col min="9747" max="9981" width="9" style="1"/>
    <col min="9982" max="9982" width="1.5" style="1" customWidth="1"/>
    <col min="9983" max="9983" width="2.125" style="1" customWidth="1"/>
    <col min="9984" max="9984" width="2.5" style="1" customWidth="1"/>
    <col min="9985" max="9985" width="1.625" style="1" customWidth="1"/>
    <col min="9986" max="9986" width="6.625" style="1" customWidth="1"/>
    <col min="9987" max="9987" width="6.5" style="1" customWidth="1"/>
    <col min="9988" max="9988" width="1.75" style="1" customWidth="1"/>
    <col min="9989" max="9989" width="10.25" style="1" customWidth="1"/>
    <col min="9990" max="9991" width="1.5" style="1" customWidth="1"/>
    <col min="9992" max="9992" width="10.75" style="1" customWidth="1"/>
    <col min="9993" max="9993" width="1.5" style="1" customWidth="1"/>
    <col min="9994" max="9995" width="9.875" style="1" customWidth="1"/>
    <col min="9996" max="9998" width="9.625" style="1" customWidth="1"/>
    <col min="9999" max="9999" width="10" style="1" customWidth="1"/>
    <col min="10000" max="10002" width="10.25" style="1" customWidth="1"/>
    <col min="10003" max="10237" width="9" style="1"/>
    <col min="10238" max="10238" width="1.5" style="1" customWidth="1"/>
    <col min="10239" max="10239" width="2.125" style="1" customWidth="1"/>
    <col min="10240" max="10240" width="2.5" style="1" customWidth="1"/>
    <col min="10241" max="10241" width="1.625" style="1" customWidth="1"/>
    <col min="10242" max="10242" width="6.625" style="1" customWidth="1"/>
    <col min="10243" max="10243" width="6.5" style="1" customWidth="1"/>
    <col min="10244" max="10244" width="1.75" style="1" customWidth="1"/>
    <col min="10245" max="10245" width="10.25" style="1" customWidth="1"/>
    <col min="10246" max="10247" width="1.5" style="1" customWidth="1"/>
    <col min="10248" max="10248" width="10.75" style="1" customWidth="1"/>
    <col min="10249" max="10249" width="1.5" style="1" customWidth="1"/>
    <col min="10250" max="10251" width="9.875" style="1" customWidth="1"/>
    <col min="10252" max="10254" width="9.625" style="1" customWidth="1"/>
    <col min="10255" max="10255" width="10" style="1" customWidth="1"/>
    <col min="10256" max="10258" width="10.25" style="1" customWidth="1"/>
    <col min="10259" max="10493" width="9" style="1"/>
    <col min="10494" max="10494" width="1.5" style="1" customWidth="1"/>
    <col min="10495" max="10495" width="2.125" style="1" customWidth="1"/>
    <col min="10496" max="10496" width="2.5" style="1" customWidth="1"/>
    <col min="10497" max="10497" width="1.625" style="1" customWidth="1"/>
    <col min="10498" max="10498" width="6.625" style="1" customWidth="1"/>
    <col min="10499" max="10499" width="6.5" style="1" customWidth="1"/>
    <col min="10500" max="10500" width="1.75" style="1" customWidth="1"/>
    <col min="10501" max="10501" width="10.25" style="1" customWidth="1"/>
    <col min="10502" max="10503" width="1.5" style="1" customWidth="1"/>
    <col min="10504" max="10504" width="10.75" style="1" customWidth="1"/>
    <col min="10505" max="10505" width="1.5" style="1" customWidth="1"/>
    <col min="10506" max="10507" width="9.875" style="1" customWidth="1"/>
    <col min="10508" max="10510" width="9.625" style="1" customWidth="1"/>
    <col min="10511" max="10511" width="10" style="1" customWidth="1"/>
    <col min="10512" max="10514" width="10.25" style="1" customWidth="1"/>
    <col min="10515" max="10749" width="9" style="1"/>
    <col min="10750" max="10750" width="1.5" style="1" customWidth="1"/>
    <col min="10751" max="10751" width="2.125" style="1" customWidth="1"/>
    <col min="10752" max="10752" width="2.5" style="1" customWidth="1"/>
    <col min="10753" max="10753" width="1.625" style="1" customWidth="1"/>
    <col min="10754" max="10754" width="6.625" style="1" customWidth="1"/>
    <col min="10755" max="10755" width="6.5" style="1" customWidth="1"/>
    <col min="10756" max="10756" width="1.75" style="1" customWidth="1"/>
    <col min="10757" max="10757" width="10.25" style="1" customWidth="1"/>
    <col min="10758" max="10759" width="1.5" style="1" customWidth="1"/>
    <col min="10760" max="10760" width="10.75" style="1" customWidth="1"/>
    <col min="10761" max="10761" width="1.5" style="1" customWidth="1"/>
    <col min="10762" max="10763" width="9.875" style="1" customWidth="1"/>
    <col min="10764" max="10766" width="9.625" style="1" customWidth="1"/>
    <col min="10767" max="10767" width="10" style="1" customWidth="1"/>
    <col min="10768" max="10770" width="10.25" style="1" customWidth="1"/>
    <col min="10771" max="11005" width="9" style="1"/>
    <col min="11006" max="11006" width="1.5" style="1" customWidth="1"/>
    <col min="11007" max="11007" width="2.125" style="1" customWidth="1"/>
    <col min="11008" max="11008" width="2.5" style="1" customWidth="1"/>
    <col min="11009" max="11009" width="1.625" style="1" customWidth="1"/>
    <col min="11010" max="11010" width="6.625" style="1" customWidth="1"/>
    <col min="11011" max="11011" width="6.5" style="1" customWidth="1"/>
    <col min="11012" max="11012" width="1.75" style="1" customWidth="1"/>
    <col min="11013" max="11013" width="10.25" style="1" customWidth="1"/>
    <col min="11014" max="11015" width="1.5" style="1" customWidth="1"/>
    <col min="11016" max="11016" width="10.75" style="1" customWidth="1"/>
    <col min="11017" max="11017" width="1.5" style="1" customWidth="1"/>
    <col min="11018" max="11019" width="9.875" style="1" customWidth="1"/>
    <col min="11020" max="11022" width="9.625" style="1" customWidth="1"/>
    <col min="11023" max="11023" width="10" style="1" customWidth="1"/>
    <col min="11024" max="11026" width="10.25" style="1" customWidth="1"/>
    <col min="11027" max="11261" width="9" style="1"/>
    <col min="11262" max="11262" width="1.5" style="1" customWidth="1"/>
    <col min="11263" max="11263" width="2.125" style="1" customWidth="1"/>
    <col min="11264" max="11264" width="2.5" style="1" customWidth="1"/>
    <col min="11265" max="11265" width="1.625" style="1" customWidth="1"/>
    <col min="11266" max="11266" width="6.625" style="1" customWidth="1"/>
    <col min="11267" max="11267" width="6.5" style="1" customWidth="1"/>
    <col min="11268" max="11268" width="1.75" style="1" customWidth="1"/>
    <col min="11269" max="11269" width="10.25" style="1" customWidth="1"/>
    <col min="11270" max="11271" width="1.5" style="1" customWidth="1"/>
    <col min="11272" max="11272" width="10.75" style="1" customWidth="1"/>
    <col min="11273" max="11273" width="1.5" style="1" customWidth="1"/>
    <col min="11274" max="11275" width="9.875" style="1" customWidth="1"/>
    <col min="11276" max="11278" width="9.625" style="1" customWidth="1"/>
    <col min="11279" max="11279" width="10" style="1" customWidth="1"/>
    <col min="11280" max="11282" width="10.25" style="1" customWidth="1"/>
    <col min="11283" max="11517" width="9" style="1"/>
    <col min="11518" max="11518" width="1.5" style="1" customWidth="1"/>
    <col min="11519" max="11519" width="2.125" style="1" customWidth="1"/>
    <col min="11520" max="11520" width="2.5" style="1" customWidth="1"/>
    <col min="11521" max="11521" width="1.625" style="1" customWidth="1"/>
    <col min="11522" max="11522" width="6.625" style="1" customWidth="1"/>
    <col min="11523" max="11523" width="6.5" style="1" customWidth="1"/>
    <col min="11524" max="11524" width="1.75" style="1" customWidth="1"/>
    <col min="11525" max="11525" width="10.25" style="1" customWidth="1"/>
    <col min="11526" max="11527" width="1.5" style="1" customWidth="1"/>
    <col min="11528" max="11528" width="10.75" style="1" customWidth="1"/>
    <col min="11529" max="11529" width="1.5" style="1" customWidth="1"/>
    <col min="11530" max="11531" width="9.875" style="1" customWidth="1"/>
    <col min="11532" max="11534" width="9.625" style="1" customWidth="1"/>
    <col min="11535" max="11535" width="10" style="1" customWidth="1"/>
    <col min="11536" max="11538" width="10.25" style="1" customWidth="1"/>
    <col min="11539" max="11773" width="9" style="1"/>
    <col min="11774" max="11774" width="1.5" style="1" customWidth="1"/>
    <col min="11775" max="11775" width="2.125" style="1" customWidth="1"/>
    <col min="11776" max="11776" width="2.5" style="1" customWidth="1"/>
    <col min="11777" max="11777" width="1.625" style="1" customWidth="1"/>
    <col min="11778" max="11778" width="6.625" style="1" customWidth="1"/>
    <col min="11779" max="11779" width="6.5" style="1" customWidth="1"/>
    <col min="11780" max="11780" width="1.75" style="1" customWidth="1"/>
    <col min="11781" max="11781" width="10.25" style="1" customWidth="1"/>
    <col min="11782" max="11783" width="1.5" style="1" customWidth="1"/>
    <col min="11784" max="11784" width="10.75" style="1" customWidth="1"/>
    <col min="11785" max="11785" width="1.5" style="1" customWidth="1"/>
    <col min="11786" max="11787" width="9.875" style="1" customWidth="1"/>
    <col min="11788" max="11790" width="9.625" style="1" customWidth="1"/>
    <col min="11791" max="11791" width="10" style="1" customWidth="1"/>
    <col min="11792" max="11794" width="10.25" style="1" customWidth="1"/>
    <col min="11795" max="12029" width="9" style="1"/>
    <col min="12030" max="12030" width="1.5" style="1" customWidth="1"/>
    <col min="12031" max="12031" width="2.125" style="1" customWidth="1"/>
    <col min="12032" max="12032" width="2.5" style="1" customWidth="1"/>
    <col min="12033" max="12033" width="1.625" style="1" customWidth="1"/>
    <col min="12034" max="12034" width="6.625" style="1" customWidth="1"/>
    <col min="12035" max="12035" width="6.5" style="1" customWidth="1"/>
    <col min="12036" max="12036" width="1.75" style="1" customWidth="1"/>
    <col min="12037" max="12037" width="10.25" style="1" customWidth="1"/>
    <col min="12038" max="12039" width="1.5" style="1" customWidth="1"/>
    <col min="12040" max="12040" width="10.75" style="1" customWidth="1"/>
    <col min="12041" max="12041" width="1.5" style="1" customWidth="1"/>
    <col min="12042" max="12043" width="9.875" style="1" customWidth="1"/>
    <col min="12044" max="12046" width="9.625" style="1" customWidth="1"/>
    <col min="12047" max="12047" width="10" style="1" customWidth="1"/>
    <col min="12048" max="12050" width="10.25" style="1" customWidth="1"/>
    <col min="12051" max="12285" width="9" style="1"/>
    <col min="12286" max="12286" width="1.5" style="1" customWidth="1"/>
    <col min="12287" max="12287" width="2.125" style="1" customWidth="1"/>
    <col min="12288" max="12288" width="2.5" style="1" customWidth="1"/>
    <col min="12289" max="12289" width="1.625" style="1" customWidth="1"/>
    <col min="12290" max="12290" width="6.625" style="1" customWidth="1"/>
    <col min="12291" max="12291" width="6.5" style="1" customWidth="1"/>
    <col min="12292" max="12292" width="1.75" style="1" customWidth="1"/>
    <col min="12293" max="12293" width="10.25" style="1" customWidth="1"/>
    <col min="12294" max="12295" width="1.5" style="1" customWidth="1"/>
    <col min="12296" max="12296" width="10.75" style="1" customWidth="1"/>
    <col min="12297" max="12297" width="1.5" style="1" customWidth="1"/>
    <col min="12298" max="12299" width="9.875" style="1" customWidth="1"/>
    <col min="12300" max="12302" width="9.625" style="1" customWidth="1"/>
    <col min="12303" max="12303" width="10" style="1" customWidth="1"/>
    <col min="12304" max="12306" width="10.25" style="1" customWidth="1"/>
    <col min="12307" max="12541" width="9" style="1"/>
    <col min="12542" max="12542" width="1.5" style="1" customWidth="1"/>
    <col min="12543" max="12543" width="2.125" style="1" customWidth="1"/>
    <col min="12544" max="12544" width="2.5" style="1" customWidth="1"/>
    <col min="12545" max="12545" width="1.625" style="1" customWidth="1"/>
    <col min="12546" max="12546" width="6.625" style="1" customWidth="1"/>
    <col min="12547" max="12547" width="6.5" style="1" customWidth="1"/>
    <col min="12548" max="12548" width="1.75" style="1" customWidth="1"/>
    <col min="12549" max="12549" width="10.25" style="1" customWidth="1"/>
    <col min="12550" max="12551" width="1.5" style="1" customWidth="1"/>
    <col min="12552" max="12552" width="10.75" style="1" customWidth="1"/>
    <col min="12553" max="12553" width="1.5" style="1" customWidth="1"/>
    <col min="12554" max="12555" width="9.875" style="1" customWidth="1"/>
    <col min="12556" max="12558" width="9.625" style="1" customWidth="1"/>
    <col min="12559" max="12559" width="10" style="1" customWidth="1"/>
    <col min="12560" max="12562" width="10.25" style="1" customWidth="1"/>
    <col min="12563" max="12797" width="9" style="1"/>
    <col min="12798" max="12798" width="1.5" style="1" customWidth="1"/>
    <col min="12799" max="12799" width="2.125" style="1" customWidth="1"/>
    <col min="12800" max="12800" width="2.5" style="1" customWidth="1"/>
    <col min="12801" max="12801" width="1.625" style="1" customWidth="1"/>
    <col min="12802" max="12802" width="6.625" style="1" customWidth="1"/>
    <col min="12803" max="12803" width="6.5" style="1" customWidth="1"/>
    <col min="12804" max="12804" width="1.75" style="1" customWidth="1"/>
    <col min="12805" max="12805" width="10.25" style="1" customWidth="1"/>
    <col min="12806" max="12807" width="1.5" style="1" customWidth="1"/>
    <col min="12808" max="12808" width="10.75" style="1" customWidth="1"/>
    <col min="12809" max="12809" width="1.5" style="1" customWidth="1"/>
    <col min="12810" max="12811" width="9.875" style="1" customWidth="1"/>
    <col min="12812" max="12814" width="9.625" style="1" customWidth="1"/>
    <col min="12815" max="12815" width="10" style="1" customWidth="1"/>
    <col min="12816" max="12818" width="10.25" style="1" customWidth="1"/>
    <col min="12819" max="13053" width="9" style="1"/>
    <col min="13054" max="13054" width="1.5" style="1" customWidth="1"/>
    <col min="13055" max="13055" width="2.125" style="1" customWidth="1"/>
    <col min="13056" max="13056" width="2.5" style="1" customWidth="1"/>
    <col min="13057" max="13057" width="1.625" style="1" customWidth="1"/>
    <col min="13058" max="13058" width="6.625" style="1" customWidth="1"/>
    <col min="13059" max="13059" width="6.5" style="1" customWidth="1"/>
    <col min="13060" max="13060" width="1.75" style="1" customWidth="1"/>
    <col min="13061" max="13061" width="10.25" style="1" customWidth="1"/>
    <col min="13062" max="13063" width="1.5" style="1" customWidth="1"/>
    <col min="13064" max="13064" width="10.75" style="1" customWidth="1"/>
    <col min="13065" max="13065" width="1.5" style="1" customWidth="1"/>
    <col min="13066" max="13067" width="9.875" style="1" customWidth="1"/>
    <col min="13068" max="13070" width="9.625" style="1" customWidth="1"/>
    <col min="13071" max="13071" width="10" style="1" customWidth="1"/>
    <col min="13072" max="13074" width="10.25" style="1" customWidth="1"/>
    <col min="13075" max="13309" width="9" style="1"/>
    <col min="13310" max="13310" width="1.5" style="1" customWidth="1"/>
    <col min="13311" max="13311" width="2.125" style="1" customWidth="1"/>
    <col min="13312" max="13312" width="2.5" style="1" customWidth="1"/>
    <col min="13313" max="13313" width="1.625" style="1" customWidth="1"/>
    <col min="13314" max="13314" width="6.625" style="1" customWidth="1"/>
    <col min="13315" max="13315" width="6.5" style="1" customWidth="1"/>
    <col min="13316" max="13316" width="1.75" style="1" customWidth="1"/>
    <col min="13317" max="13317" width="10.25" style="1" customWidth="1"/>
    <col min="13318" max="13319" width="1.5" style="1" customWidth="1"/>
    <col min="13320" max="13320" width="10.75" style="1" customWidth="1"/>
    <col min="13321" max="13321" width="1.5" style="1" customWidth="1"/>
    <col min="13322" max="13323" width="9.875" style="1" customWidth="1"/>
    <col min="13324" max="13326" width="9.625" style="1" customWidth="1"/>
    <col min="13327" max="13327" width="10" style="1" customWidth="1"/>
    <col min="13328" max="13330" width="10.25" style="1" customWidth="1"/>
    <col min="13331" max="13565" width="9" style="1"/>
    <col min="13566" max="13566" width="1.5" style="1" customWidth="1"/>
    <col min="13567" max="13567" width="2.125" style="1" customWidth="1"/>
    <col min="13568" max="13568" width="2.5" style="1" customWidth="1"/>
    <col min="13569" max="13569" width="1.625" style="1" customWidth="1"/>
    <col min="13570" max="13570" width="6.625" style="1" customWidth="1"/>
    <col min="13571" max="13571" width="6.5" style="1" customWidth="1"/>
    <col min="13572" max="13572" width="1.75" style="1" customWidth="1"/>
    <col min="13573" max="13573" width="10.25" style="1" customWidth="1"/>
    <col min="13574" max="13575" width="1.5" style="1" customWidth="1"/>
    <col min="13576" max="13576" width="10.75" style="1" customWidth="1"/>
    <col min="13577" max="13577" width="1.5" style="1" customWidth="1"/>
    <col min="13578" max="13579" width="9.875" style="1" customWidth="1"/>
    <col min="13580" max="13582" width="9.625" style="1" customWidth="1"/>
    <col min="13583" max="13583" width="10" style="1" customWidth="1"/>
    <col min="13584" max="13586" width="10.25" style="1" customWidth="1"/>
    <col min="13587" max="13821" width="9" style="1"/>
    <col min="13822" max="13822" width="1.5" style="1" customWidth="1"/>
    <col min="13823" max="13823" width="2.125" style="1" customWidth="1"/>
    <col min="13824" max="13824" width="2.5" style="1" customWidth="1"/>
    <col min="13825" max="13825" width="1.625" style="1" customWidth="1"/>
    <col min="13826" max="13826" width="6.625" style="1" customWidth="1"/>
    <col min="13827" max="13827" width="6.5" style="1" customWidth="1"/>
    <col min="13828" max="13828" width="1.75" style="1" customWidth="1"/>
    <col min="13829" max="13829" width="10.25" style="1" customWidth="1"/>
    <col min="13830" max="13831" width="1.5" style="1" customWidth="1"/>
    <col min="13832" max="13832" width="10.75" style="1" customWidth="1"/>
    <col min="13833" max="13833" width="1.5" style="1" customWidth="1"/>
    <col min="13834" max="13835" width="9.875" style="1" customWidth="1"/>
    <col min="13836" max="13838" width="9.625" style="1" customWidth="1"/>
    <col min="13839" max="13839" width="10" style="1" customWidth="1"/>
    <col min="13840" max="13842" width="10.25" style="1" customWidth="1"/>
    <col min="13843" max="14077" width="9" style="1"/>
    <col min="14078" max="14078" width="1.5" style="1" customWidth="1"/>
    <col min="14079" max="14079" width="2.125" style="1" customWidth="1"/>
    <col min="14080" max="14080" width="2.5" style="1" customWidth="1"/>
    <col min="14081" max="14081" width="1.625" style="1" customWidth="1"/>
    <col min="14082" max="14082" width="6.625" style="1" customWidth="1"/>
    <col min="14083" max="14083" width="6.5" style="1" customWidth="1"/>
    <col min="14084" max="14084" width="1.75" style="1" customWidth="1"/>
    <col min="14085" max="14085" width="10.25" style="1" customWidth="1"/>
    <col min="14086" max="14087" width="1.5" style="1" customWidth="1"/>
    <col min="14088" max="14088" width="10.75" style="1" customWidth="1"/>
    <col min="14089" max="14089" width="1.5" style="1" customWidth="1"/>
    <col min="14090" max="14091" width="9.875" style="1" customWidth="1"/>
    <col min="14092" max="14094" width="9.625" style="1" customWidth="1"/>
    <col min="14095" max="14095" width="10" style="1" customWidth="1"/>
    <col min="14096" max="14098" width="10.25" style="1" customWidth="1"/>
    <col min="14099" max="14333" width="9" style="1"/>
    <col min="14334" max="14334" width="1.5" style="1" customWidth="1"/>
    <col min="14335" max="14335" width="2.125" style="1" customWidth="1"/>
    <col min="14336" max="14336" width="2.5" style="1" customWidth="1"/>
    <col min="14337" max="14337" width="1.625" style="1" customWidth="1"/>
    <col min="14338" max="14338" width="6.625" style="1" customWidth="1"/>
    <col min="14339" max="14339" width="6.5" style="1" customWidth="1"/>
    <col min="14340" max="14340" width="1.75" style="1" customWidth="1"/>
    <col min="14341" max="14341" width="10.25" style="1" customWidth="1"/>
    <col min="14342" max="14343" width="1.5" style="1" customWidth="1"/>
    <col min="14344" max="14344" width="10.75" style="1" customWidth="1"/>
    <col min="14345" max="14345" width="1.5" style="1" customWidth="1"/>
    <col min="14346" max="14347" width="9.875" style="1" customWidth="1"/>
    <col min="14348" max="14350" width="9.625" style="1" customWidth="1"/>
    <col min="14351" max="14351" width="10" style="1" customWidth="1"/>
    <col min="14352" max="14354" width="10.25" style="1" customWidth="1"/>
    <col min="14355" max="14589" width="9" style="1"/>
    <col min="14590" max="14590" width="1.5" style="1" customWidth="1"/>
    <col min="14591" max="14591" width="2.125" style="1" customWidth="1"/>
    <col min="14592" max="14592" width="2.5" style="1" customWidth="1"/>
    <col min="14593" max="14593" width="1.625" style="1" customWidth="1"/>
    <col min="14594" max="14594" width="6.625" style="1" customWidth="1"/>
    <col min="14595" max="14595" width="6.5" style="1" customWidth="1"/>
    <col min="14596" max="14596" width="1.75" style="1" customWidth="1"/>
    <col min="14597" max="14597" width="10.25" style="1" customWidth="1"/>
    <col min="14598" max="14599" width="1.5" style="1" customWidth="1"/>
    <col min="14600" max="14600" width="10.75" style="1" customWidth="1"/>
    <col min="14601" max="14601" width="1.5" style="1" customWidth="1"/>
    <col min="14602" max="14603" width="9.875" style="1" customWidth="1"/>
    <col min="14604" max="14606" width="9.625" style="1" customWidth="1"/>
    <col min="14607" max="14607" width="10" style="1" customWidth="1"/>
    <col min="14608" max="14610" width="10.25" style="1" customWidth="1"/>
    <col min="14611" max="14845" width="9" style="1"/>
    <col min="14846" max="14846" width="1.5" style="1" customWidth="1"/>
    <col min="14847" max="14847" width="2.125" style="1" customWidth="1"/>
    <col min="14848" max="14848" width="2.5" style="1" customWidth="1"/>
    <col min="14849" max="14849" width="1.625" style="1" customWidth="1"/>
    <col min="14850" max="14850" width="6.625" style="1" customWidth="1"/>
    <col min="14851" max="14851" width="6.5" style="1" customWidth="1"/>
    <col min="14852" max="14852" width="1.75" style="1" customWidth="1"/>
    <col min="14853" max="14853" width="10.25" style="1" customWidth="1"/>
    <col min="14854" max="14855" width="1.5" style="1" customWidth="1"/>
    <col min="14856" max="14856" width="10.75" style="1" customWidth="1"/>
    <col min="14857" max="14857" width="1.5" style="1" customWidth="1"/>
    <col min="14858" max="14859" width="9.875" style="1" customWidth="1"/>
    <col min="14860" max="14862" width="9.625" style="1" customWidth="1"/>
    <col min="14863" max="14863" width="10" style="1" customWidth="1"/>
    <col min="14864" max="14866" width="10.25" style="1" customWidth="1"/>
    <col min="14867" max="15101" width="9" style="1"/>
    <col min="15102" max="15102" width="1.5" style="1" customWidth="1"/>
    <col min="15103" max="15103" width="2.125" style="1" customWidth="1"/>
    <col min="15104" max="15104" width="2.5" style="1" customWidth="1"/>
    <col min="15105" max="15105" width="1.625" style="1" customWidth="1"/>
    <col min="15106" max="15106" width="6.625" style="1" customWidth="1"/>
    <col min="15107" max="15107" width="6.5" style="1" customWidth="1"/>
    <col min="15108" max="15108" width="1.75" style="1" customWidth="1"/>
    <col min="15109" max="15109" width="10.25" style="1" customWidth="1"/>
    <col min="15110" max="15111" width="1.5" style="1" customWidth="1"/>
    <col min="15112" max="15112" width="10.75" style="1" customWidth="1"/>
    <col min="15113" max="15113" width="1.5" style="1" customWidth="1"/>
    <col min="15114" max="15115" width="9.875" style="1" customWidth="1"/>
    <col min="15116" max="15118" width="9.625" style="1" customWidth="1"/>
    <col min="15119" max="15119" width="10" style="1" customWidth="1"/>
    <col min="15120" max="15122" width="10.25" style="1" customWidth="1"/>
    <col min="15123" max="15357" width="9" style="1"/>
    <col min="15358" max="15358" width="1.5" style="1" customWidth="1"/>
    <col min="15359" max="15359" width="2.125" style="1" customWidth="1"/>
    <col min="15360" max="15360" width="2.5" style="1" customWidth="1"/>
    <col min="15361" max="15361" width="1.625" style="1" customWidth="1"/>
    <col min="15362" max="15362" width="6.625" style="1" customWidth="1"/>
    <col min="15363" max="15363" width="6.5" style="1" customWidth="1"/>
    <col min="15364" max="15364" width="1.75" style="1" customWidth="1"/>
    <col min="15365" max="15365" width="10.25" style="1" customWidth="1"/>
    <col min="15366" max="15367" width="1.5" style="1" customWidth="1"/>
    <col min="15368" max="15368" width="10.75" style="1" customWidth="1"/>
    <col min="15369" max="15369" width="1.5" style="1" customWidth="1"/>
    <col min="15370" max="15371" width="9.875" style="1" customWidth="1"/>
    <col min="15372" max="15374" width="9.625" style="1" customWidth="1"/>
    <col min="15375" max="15375" width="10" style="1" customWidth="1"/>
    <col min="15376" max="15378" width="10.25" style="1" customWidth="1"/>
    <col min="15379" max="15613" width="9" style="1"/>
    <col min="15614" max="15614" width="1.5" style="1" customWidth="1"/>
    <col min="15615" max="15615" width="2.125" style="1" customWidth="1"/>
    <col min="15616" max="15616" width="2.5" style="1" customWidth="1"/>
    <col min="15617" max="15617" width="1.625" style="1" customWidth="1"/>
    <col min="15618" max="15618" width="6.625" style="1" customWidth="1"/>
    <col min="15619" max="15619" width="6.5" style="1" customWidth="1"/>
    <col min="15620" max="15620" width="1.75" style="1" customWidth="1"/>
    <col min="15621" max="15621" width="10.25" style="1" customWidth="1"/>
    <col min="15622" max="15623" width="1.5" style="1" customWidth="1"/>
    <col min="15624" max="15624" width="10.75" style="1" customWidth="1"/>
    <col min="15625" max="15625" width="1.5" style="1" customWidth="1"/>
    <col min="15626" max="15627" width="9.875" style="1" customWidth="1"/>
    <col min="15628" max="15630" width="9.625" style="1" customWidth="1"/>
    <col min="15631" max="15631" width="10" style="1" customWidth="1"/>
    <col min="15632" max="15634" width="10.25" style="1" customWidth="1"/>
    <col min="15635" max="15869" width="9" style="1"/>
    <col min="15870" max="15870" width="1.5" style="1" customWidth="1"/>
    <col min="15871" max="15871" width="2.125" style="1" customWidth="1"/>
    <col min="15872" max="15872" width="2.5" style="1" customWidth="1"/>
    <col min="15873" max="15873" width="1.625" style="1" customWidth="1"/>
    <col min="15874" max="15874" width="6.625" style="1" customWidth="1"/>
    <col min="15875" max="15875" width="6.5" style="1" customWidth="1"/>
    <col min="15876" max="15876" width="1.75" style="1" customWidth="1"/>
    <col min="15877" max="15877" width="10.25" style="1" customWidth="1"/>
    <col min="15878" max="15879" width="1.5" style="1" customWidth="1"/>
    <col min="15880" max="15880" width="10.75" style="1" customWidth="1"/>
    <col min="15881" max="15881" width="1.5" style="1" customWidth="1"/>
    <col min="15882" max="15883" width="9.875" style="1" customWidth="1"/>
    <col min="15884" max="15886" width="9.625" style="1" customWidth="1"/>
    <col min="15887" max="15887" width="10" style="1" customWidth="1"/>
    <col min="15888" max="15890" width="10.25" style="1" customWidth="1"/>
    <col min="15891" max="16125" width="9" style="1"/>
    <col min="16126" max="16126" width="1.5" style="1" customWidth="1"/>
    <col min="16127" max="16127" width="2.125" style="1" customWidth="1"/>
    <col min="16128" max="16128" width="2.5" style="1" customWidth="1"/>
    <col min="16129" max="16129" width="1.625" style="1" customWidth="1"/>
    <col min="16130" max="16130" width="6.625" style="1" customWidth="1"/>
    <col min="16131" max="16131" width="6.5" style="1" customWidth="1"/>
    <col min="16132" max="16132" width="1.75" style="1" customWidth="1"/>
    <col min="16133" max="16133" width="10.25" style="1" customWidth="1"/>
    <col min="16134" max="16135" width="1.5" style="1" customWidth="1"/>
    <col min="16136" max="16136" width="10.75" style="1" customWidth="1"/>
    <col min="16137" max="16137" width="1.5" style="1" customWidth="1"/>
    <col min="16138" max="16139" width="9.875" style="1" customWidth="1"/>
    <col min="16140" max="16142" width="9.625" style="1" customWidth="1"/>
    <col min="16143" max="16143" width="10" style="1" customWidth="1"/>
    <col min="16144" max="16146" width="10.25" style="1" customWidth="1"/>
    <col min="16147" max="16384" width="9" style="1"/>
  </cols>
  <sheetData>
    <row r="1" spans="1:21" x14ac:dyDescent="0.15">
      <c r="R1" s="5"/>
    </row>
    <row r="2" spans="1:21" ht="27.75" customHeight="1" x14ac:dyDescent="0.15">
      <c r="A2" s="346" t="s">
        <v>182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21" ht="18" customHeight="1" x14ac:dyDescent="0.15">
      <c r="A3" s="347" t="s">
        <v>225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4" spans="1:21" ht="15" customHeight="1" thickBot="1" x14ac:dyDescent="0.2">
      <c r="A4" s="348"/>
      <c r="B4" s="349"/>
      <c r="C4" s="349"/>
      <c r="D4" s="349"/>
      <c r="E4" s="349"/>
      <c r="F4" s="349"/>
      <c r="G4" s="349"/>
      <c r="H4" s="1"/>
      <c r="I4" s="1"/>
      <c r="J4" s="1"/>
      <c r="K4" s="1"/>
      <c r="L4" s="1"/>
      <c r="M4" s="6"/>
      <c r="N4" s="6"/>
      <c r="O4" s="6"/>
      <c r="P4" s="6"/>
      <c r="Q4" s="6"/>
      <c r="R4" s="7" t="s">
        <v>0</v>
      </c>
      <c r="S4" s="8"/>
    </row>
    <row r="5" spans="1:21" ht="14.25" customHeight="1" x14ac:dyDescent="0.15">
      <c r="A5" s="350" t="s">
        <v>1</v>
      </c>
      <c r="B5" s="351"/>
      <c r="C5" s="351"/>
      <c r="D5" s="351"/>
      <c r="E5" s="351"/>
      <c r="F5" s="352"/>
      <c r="G5" s="356" t="s">
        <v>2</v>
      </c>
      <c r="H5" s="351"/>
      <c r="I5" s="352"/>
      <c r="J5" s="356" t="s">
        <v>3</v>
      </c>
      <c r="K5" s="351"/>
      <c r="L5" s="351"/>
      <c r="M5" s="358" t="s">
        <v>4</v>
      </c>
      <c r="N5" s="359"/>
      <c r="O5" s="359"/>
      <c r="P5" s="361" t="s">
        <v>5</v>
      </c>
      <c r="Q5" s="361"/>
      <c r="R5" s="362" t="s">
        <v>6</v>
      </c>
    </row>
    <row r="6" spans="1:21" ht="14.25" customHeight="1" thickBot="1" x14ac:dyDescent="0.2">
      <c r="A6" s="353"/>
      <c r="B6" s="354"/>
      <c r="C6" s="354"/>
      <c r="D6" s="354"/>
      <c r="E6" s="354"/>
      <c r="F6" s="355"/>
      <c r="G6" s="357"/>
      <c r="H6" s="354"/>
      <c r="I6" s="355"/>
      <c r="J6" s="357"/>
      <c r="K6" s="354"/>
      <c r="L6" s="354"/>
      <c r="M6" s="309" t="s">
        <v>174</v>
      </c>
      <c r="N6" s="310" t="s">
        <v>10</v>
      </c>
      <c r="O6" s="311" t="s">
        <v>11</v>
      </c>
      <c r="P6" s="14" t="s">
        <v>13</v>
      </c>
      <c r="Q6" s="14" t="s">
        <v>14</v>
      </c>
      <c r="R6" s="363"/>
    </row>
    <row r="7" spans="1:21" ht="18" customHeight="1" x14ac:dyDescent="0.15">
      <c r="A7" s="369" t="s">
        <v>173</v>
      </c>
      <c r="B7" s="370"/>
      <c r="C7" s="370"/>
      <c r="D7" s="370"/>
      <c r="E7" s="370"/>
      <c r="F7" s="371"/>
      <c r="G7" s="15"/>
      <c r="H7" s="16"/>
      <c r="I7" s="17"/>
      <c r="J7" s="15"/>
      <c r="K7" s="16"/>
      <c r="L7" s="17"/>
      <c r="M7" s="18"/>
      <c r="N7" s="20"/>
      <c r="O7" s="19"/>
      <c r="P7" s="22"/>
      <c r="Q7" s="22"/>
      <c r="R7" s="23"/>
      <c r="S7" s="171">
        <f>M7+N7+O7</f>
        <v>0</v>
      </c>
    </row>
    <row r="8" spans="1:21" ht="18" customHeight="1" x14ac:dyDescent="0.15">
      <c r="A8" s="24"/>
      <c r="B8" s="25" t="s">
        <v>16</v>
      </c>
      <c r="C8" s="26"/>
      <c r="D8" s="27"/>
      <c r="E8" s="28"/>
      <c r="F8" s="25"/>
      <c r="G8" s="29"/>
      <c r="H8" s="30"/>
      <c r="I8" s="31"/>
      <c r="J8" s="29"/>
      <c r="K8" s="30"/>
      <c r="L8" s="31"/>
      <c r="M8" s="32"/>
      <c r="N8" s="34"/>
      <c r="O8" s="33"/>
      <c r="P8" s="36"/>
      <c r="Q8" s="36"/>
      <c r="R8" s="37"/>
      <c r="S8" s="171">
        <f t="shared" ref="S8:S74" si="0">M8+N8+O8</f>
        <v>0</v>
      </c>
    </row>
    <row r="9" spans="1:21" ht="18" customHeight="1" x14ac:dyDescent="0.15">
      <c r="A9" s="24"/>
      <c r="B9" s="25" t="s">
        <v>17</v>
      </c>
      <c r="C9" s="38"/>
      <c r="D9" s="27"/>
      <c r="E9" s="25"/>
      <c r="F9" s="25"/>
      <c r="G9" s="29"/>
      <c r="H9" s="30"/>
      <c r="I9" s="31"/>
      <c r="J9" s="29"/>
      <c r="K9" s="30"/>
      <c r="L9" s="31"/>
      <c r="M9" s="32"/>
      <c r="N9" s="34"/>
      <c r="O9" s="33"/>
      <c r="P9" s="36"/>
      <c r="Q9" s="36"/>
      <c r="R9" s="37"/>
      <c r="S9" s="171">
        <f t="shared" si="0"/>
        <v>0</v>
      </c>
    </row>
    <row r="10" spans="1:21" ht="18" customHeight="1" x14ac:dyDescent="0.15">
      <c r="A10" s="39"/>
      <c r="B10" s="40" t="s">
        <v>18</v>
      </c>
      <c r="C10" s="41"/>
      <c r="D10" s="42"/>
      <c r="E10" s="43"/>
      <c r="F10" s="40"/>
      <c r="G10" s="29" t="s">
        <v>19</v>
      </c>
      <c r="H10" s="30">
        <f>H11</f>
        <v>1000</v>
      </c>
      <c r="I10" s="31" t="s">
        <v>20</v>
      </c>
      <c r="J10" s="29" t="s">
        <v>21</v>
      </c>
      <c r="K10" s="44">
        <f>K11</f>
        <v>1000</v>
      </c>
      <c r="L10" s="31" t="s">
        <v>22</v>
      </c>
      <c r="M10" s="32"/>
      <c r="N10" s="34"/>
      <c r="O10" s="33"/>
      <c r="P10" s="46"/>
      <c r="Q10" s="46"/>
      <c r="R10" s="47"/>
      <c r="S10" s="171">
        <f t="shared" si="0"/>
        <v>0</v>
      </c>
    </row>
    <row r="11" spans="1:21" ht="18" customHeight="1" x14ac:dyDescent="0.15">
      <c r="A11" s="39"/>
      <c r="B11" s="48"/>
      <c r="C11" s="40" t="s">
        <v>23</v>
      </c>
      <c r="D11" s="42"/>
      <c r="E11" s="40"/>
      <c r="G11" s="49"/>
      <c r="H11" s="44">
        <v>1000</v>
      </c>
      <c r="I11" s="50"/>
      <c r="J11" s="49"/>
      <c r="K11" s="30">
        <f>SUM(M11:R11)</f>
        <v>1000</v>
      </c>
      <c r="L11" s="50"/>
      <c r="M11" s="51">
        <v>696</v>
      </c>
      <c r="N11" s="53">
        <v>128</v>
      </c>
      <c r="O11" s="52">
        <v>176</v>
      </c>
      <c r="P11" s="46"/>
      <c r="Q11" s="46"/>
      <c r="R11" s="47"/>
      <c r="S11" s="171">
        <f t="shared" si="0"/>
        <v>1000</v>
      </c>
      <c r="T11" s="171"/>
    </row>
    <row r="12" spans="1:21" ht="18" customHeight="1" x14ac:dyDescent="0.15">
      <c r="A12" s="39"/>
      <c r="B12" s="40" t="s">
        <v>24</v>
      </c>
      <c r="C12" s="48"/>
      <c r="D12" s="42"/>
      <c r="F12" s="40"/>
      <c r="G12" s="29" t="s">
        <v>19</v>
      </c>
      <c r="H12" s="30">
        <f>H13</f>
        <v>1000</v>
      </c>
      <c r="I12" s="31" t="s">
        <v>20</v>
      </c>
      <c r="J12" s="29" t="s">
        <v>21</v>
      </c>
      <c r="K12" s="30">
        <f>K13</f>
        <v>1000</v>
      </c>
      <c r="L12" s="31" t="s">
        <v>22</v>
      </c>
      <c r="M12" s="32"/>
      <c r="N12" s="34"/>
      <c r="O12" s="33"/>
      <c r="P12" s="46"/>
      <c r="Q12" s="46"/>
      <c r="R12" s="47"/>
      <c r="S12" s="171">
        <f t="shared" si="0"/>
        <v>0</v>
      </c>
      <c r="T12" s="171"/>
    </row>
    <row r="13" spans="1:21" ht="18" customHeight="1" x14ac:dyDescent="0.15">
      <c r="A13" s="54"/>
      <c r="B13" s="55"/>
      <c r="C13" s="56" t="s">
        <v>79</v>
      </c>
      <c r="D13" s="57"/>
      <c r="E13" s="56"/>
      <c r="G13" s="29"/>
      <c r="H13" s="30">
        <v>1000</v>
      </c>
      <c r="I13" s="31"/>
      <c r="J13" s="29"/>
      <c r="K13" s="30">
        <f>SUM(M13:R13)</f>
        <v>1000</v>
      </c>
      <c r="L13" s="31"/>
      <c r="M13" s="32"/>
      <c r="N13" s="34"/>
      <c r="O13" s="33"/>
      <c r="P13" s="46"/>
      <c r="Q13" s="46"/>
      <c r="R13" s="47">
        <v>1000</v>
      </c>
      <c r="S13" s="171">
        <f t="shared" si="0"/>
        <v>0</v>
      </c>
      <c r="T13" s="171"/>
    </row>
    <row r="14" spans="1:21" ht="18" customHeight="1" x14ac:dyDescent="0.15">
      <c r="A14" s="39"/>
      <c r="B14" s="40" t="s">
        <v>25</v>
      </c>
      <c r="C14" s="40"/>
      <c r="D14" s="42"/>
      <c r="E14" s="40"/>
      <c r="F14" s="40"/>
      <c r="G14" s="29" t="s">
        <v>19</v>
      </c>
      <c r="H14" s="30">
        <f>H15</f>
        <v>38000000</v>
      </c>
      <c r="I14" s="31" t="s">
        <v>20</v>
      </c>
      <c r="J14" s="29" t="s">
        <v>21</v>
      </c>
      <c r="K14" s="30">
        <f>K15</f>
        <v>38000000</v>
      </c>
      <c r="L14" s="31" t="s">
        <v>22</v>
      </c>
      <c r="M14" s="32"/>
      <c r="N14" s="34"/>
      <c r="O14" s="33"/>
      <c r="P14" s="46"/>
      <c r="Q14" s="46"/>
      <c r="R14" s="47"/>
      <c r="S14" s="171">
        <f t="shared" si="0"/>
        <v>0</v>
      </c>
      <c r="T14" s="171"/>
    </row>
    <row r="15" spans="1:21" ht="18" customHeight="1" x14ac:dyDescent="0.15">
      <c r="A15" s="39"/>
      <c r="B15" s="40"/>
      <c r="C15" s="40" t="s">
        <v>26</v>
      </c>
      <c r="D15" s="42"/>
      <c r="E15" s="40"/>
      <c r="F15" s="40"/>
      <c r="G15" s="29"/>
      <c r="H15" s="30">
        <v>38000000</v>
      </c>
      <c r="I15" s="31"/>
      <c r="J15" s="29"/>
      <c r="K15" s="223">
        <f>SUM(M15:R15)</f>
        <v>38000000</v>
      </c>
      <c r="L15" s="31"/>
      <c r="M15" s="32">
        <v>15314000</v>
      </c>
      <c r="N15" s="34">
        <v>2907000</v>
      </c>
      <c r="O15" s="33">
        <v>779000</v>
      </c>
      <c r="P15" s="46"/>
      <c r="Q15" s="46">
        <v>11400000</v>
      </c>
      <c r="R15" s="47">
        <v>7600000</v>
      </c>
      <c r="S15" s="171">
        <f t="shared" si="0"/>
        <v>19000000</v>
      </c>
      <c r="T15" s="171"/>
      <c r="U15" s="171">
        <f>SUM(Q15:T15)</f>
        <v>38000000</v>
      </c>
    </row>
    <row r="16" spans="1:21" ht="18" customHeight="1" x14ac:dyDescent="0.15">
      <c r="A16" s="39"/>
      <c r="B16" s="40" t="s">
        <v>27</v>
      </c>
      <c r="C16" s="40"/>
      <c r="D16" s="42"/>
      <c r="E16" s="40"/>
      <c r="F16" s="40"/>
      <c r="G16" s="29" t="s">
        <v>19</v>
      </c>
      <c r="H16" s="30">
        <f>SUM(H17:H21)</f>
        <v>18114000</v>
      </c>
      <c r="I16" s="31" t="s">
        <v>20</v>
      </c>
      <c r="J16" s="29" t="s">
        <v>21</v>
      </c>
      <c r="K16" s="223">
        <f>SUM(K17:K21)</f>
        <v>17586500</v>
      </c>
      <c r="L16" s="31" t="s">
        <v>22</v>
      </c>
      <c r="M16" s="32"/>
      <c r="N16" s="34"/>
      <c r="O16" s="33"/>
      <c r="P16" s="46"/>
      <c r="Q16" s="46"/>
      <c r="R16" s="47"/>
      <c r="S16" s="171">
        <f t="shared" si="0"/>
        <v>0</v>
      </c>
      <c r="T16" s="171"/>
      <c r="U16" s="171">
        <f t="shared" ref="U16:U79" si="1">SUM(Q16:T16)</f>
        <v>0</v>
      </c>
    </row>
    <row r="17" spans="1:21" ht="18" customHeight="1" x14ac:dyDescent="0.15">
      <c r="A17" s="58"/>
      <c r="B17" s="40"/>
      <c r="C17" s="40" t="s">
        <v>28</v>
      </c>
      <c r="D17" s="42"/>
      <c r="E17" s="40"/>
      <c r="F17" s="40"/>
      <c r="G17" s="29"/>
      <c r="H17" s="30">
        <v>2388000</v>
      </c>
      <c r="I17" s="31"/>
      <c r="J17" s="29"/>
      <c r="K17" s="223">
        <v>3517000</v>
      </c>
      <c r="L17" s="31"/>
      <c r="M17" s="32">
        <v>3517000</v>
      </c>
      <c r="N17" s="34"/>
      <c r="O17" s="33"/>
      <c r="P17" s="46"/>
      <c r="Q17" s="46"/>
      <c r="R17" s="47"/>
      <c r="S17" s="171">
        <f t="shared" si="0"/>
        <v>3517000</v>
      </c>
      <c r="T17" s="171"/>
      <c r="U17" s="171">
        <f t="shared" si="1"/>
        <v>3517000</v>
      </c>
    </row>
    <row r="18" spans="1:21" ht="18" customHeight="1" x14ac:dyDescent="0.15">
      <c r="A18" s="39"/>
      <c r="B18" s="48"/>
      <c r="C18" s="40" t="s">
        <v>29</v>
      </c>
      <c r="D18" s="42"/>
      <c r="E18" s="40"/>
      <c r="F18" s="40"/>
      <c r="G18" s="29"/>
      <c r="H18" s="30">
        <v>210000</v>
      </c>
      <c r="I18" s="31"/>
      <c r="J18" s="29"/>
      <c r="K18" s="223">
        <v>150000</v>
      </c>
      <c r="L18" s="31"/>
      <c r="M18" s="32"/>
      <c r="N18" s="34">
        <v>150000</v>
      </c>
      <c r="O18" s="33"/>
      <c r="P18" s="46"/>
      <c r="Q18" s="46"/>
      <c r="R18" s="47"/>
      <c r="S18" s="171">
        <f t="shared" si="0"/>
        <v>150000</v>
      </c>
      <c r="T18" s="171"/>
      <c r="U18" s="171">
        <f t="shared" si="1"/>
        <v>150000</v>
      </c>
    </row>
    <row r="19" spans="1:21" ht="18" customHeight="1" x14ac:dyDescent="0.15">
      <c r="A19" s="39"/>
      <c r="B19" s="48"/>
      <c r="C19" s="40" t="s">
        <v>30</v>
      </c>
      <c r="D19" s="42"/>
      <c r="E19" s="40"/>
      <c r="F19" s="40"/>
      <c r="G19" s="29"/>
      <c r="H19" s="30">
        <v>3979000</v>
      </c>
      <c r="I19" s="31"/>
      <c r="J19" s="29"/>
      <c r="K19" s="223">
        <v>2670000</v>
      </c>
      <c r="L19" s="31"/>
      <c r="M19" s="32"/>
      <c r="N19" s="34"/>
      <c r="O19" s="33">
        <v>2670000</v>
      </c>
      <c r="P19" s="46"/>
      <c r="Q19" s="46"/>
      <c r="R19" s="47"/>
      <c r="S19" s="171">
        <f t="shared" si="0"/>
        <v>2670000</v>
      </c>
      <c r="T19" s="171"/>
      <c r="U19" s="171">
        <f t="shared" si="1"/>
        <v>2670000</v>
      </c>
    </row>
    <row r="20" spans="1:21" ht="18" customHeight="1" x14ac:dyDescent="0.15">
      <c r="A20" s="39"/>
      <c r="B20" s="48"/>
      <c r="C20" s="40" t="s">
        <v>31</v>
      </c>
      <c r="D20" s="42"/>
      <c r="E20" s="40"/>
      <c r="F20" s="40"/>
      <c r="G20" s="29"/>
      <c r="H20" s="30">
        <v>1650000</v>
      </c>
      <c r="I20" s="31"/>
      <c r="J20" s="29"/>
      <c r="K20" s="223">
        <v>1450000</v>
      </c>
      <c r="L20" s="31"/>
      <c r="M20" s="32"/>
      <c r="N20" s="34"/>
      <c r="O20" s="33"/>
      <c r="P20" s="46">
        <v>1450000</v>
      </c>
      <c r="Q20" s="46"/>
      <c r="R20" s="59"/>
      <c r="S20" s="171">
        <f t="shared" si="0"/>
        <v>0</v>
      </c>
      <c r="T20" s="171"/>
      <c r="U20" s="171">
        <v>1650000</v>
      </c>
    </row>
    <row r="21" spans="1:21" ht="18" customHeight="1" x14ac:dyDescent="0.15">
      <c r="A21" s="39"/>
      <c r="B21" s="40"/>
      <c r="C21" s="40" t="s">
        <v>32</v>
      </c>
      <c r="D21" s="40"/>
      <c r="E21" s="40"/>
      <c r="F21" s="40"/>
      <c r="G21" s="29"/>
      <c r="H21" s="30">
        <v>9887000</v>
      </c>
      <c r="I21" s="31"/>
      <c r="J21" s="29"/>
      <c r="K21" s="223">
        <v>9799500</v>
      </c>
      <c r="L21" s="31"/>
      <c r="M21" s="32"/>
      <c r="N21" s="34"/>
      <c r="O21" s="33"/>
      <c r="P21" s="46"/>
      <c r="Q21" s="46">
        <v>9799500</v>
      </c>
      <c r="R21" s="59"/>
      <c r="S21" s="171">
        <f t="shared" si="0"/>
        <v>0</v>
      </c>
      <c r="T21" s="171"/>
      <c r="U21" s="171">
        <f t="shared" si="1"/>
        <v>9799500</v>
      </c>
    </row>
    <row r="22" spans="1:21" ht="18" customHeight="1" x14ac:dyDescent="0.15">
      <c r="A22" s="39"/>
      <c r="B22" s="40" t="s">
        <v>33</v>
      </c>
      <c r="C22" s="40"/>
      <c r="D22" s="40"/>
      <c r="E22" s="40"/>
      <c r="F22" s="40"/>
      <c r="G22" s="29" t="s">
        <v>19</v>
      </c>
      <c r="H22" s="30">
        <f>SUM(H23:H26)</f>
        <v>16754600</v>
      </c>
      <c r="I22" s="31" t="s">
        <v>20</v>
      </c>
      <c r="J22" s="29" t="s">
        <v>21</v>
      </c>
      <c r="K22" s="223">
        <f>SUM(K23:K26)</f>
        <v>17454100</v>
      </c>
      <c r="L22" s="31" t="s">
        <v>22</v>
      </c>
      <c r="M22" s="32"/>
      <c r="N22" s="34"/>
      <c r="O22" s="33"/>
      <c r="P22" s="46"/>
      <c r="Q22" s="46"/>
      <c r="R22" s="59"/>
      <c r="S22" s="171">
        <f t="shared" si="0"/>
        <v>0</v>
      </c>
      <c r="T22" s="171"/>
      <c r="U22" s="171">
        <f t="shared" si="1"/>
        <v>0</v>
      </c>
    </row>
    <row r="23" spans="1:21" ht="18" customHeight="1" x14ac:dyDescent="0.15">
      <c r="A23" s="39"/>
      <c r="B23" s="40"/>
      <c r="C23" s="40" t="s">
        <v>102</v>
      </c>
      <c r="D23" s="40"/>
      <c r="E23" s="40"/>
      <c r="F23" s="40"/>
      <c r="G23" s="29"/>
      <c r="H23" s="30">
        <v>15954600</v>
      </c>
      <c r="I23" s="31"/>
      <c r="J23" s="29"/>
      <c r="K23" s="223">
        <v>16640900</v>
      </c>
      <c r="L23" s="31"/>
      <c r="M23" s="32">
        <v>11715193</v>
      </c>
      <c r="N23" s="34">
        <v>2146677</v>
      </c>
      <c r="O23" s="33">
        <v>2779030</v>
      </c>
      <c r="P23" s="46"/>
      <c r="Q23" s="46"/>
      <c r="R23" s="59"/>
      <c r="S23" s="171">
        <f t="shared" si="0"/>
        <v>16640900</v>
      </c>
      <c r="T23" s="171"/>
      <c r="U23" s="171">
        <f t="shared" si="1"/>
        <v>16640900</v>
      </c>
    </row>
    <row r="24" spans="1:21" ht="18" customHeight="1" x14ac:dyDescent="0.15">
      <c r="A24" s="39"/>
      <c r="B24" s="40"/>
      <c r="C24" s="40" t="s">
        <v>109</v>
      </c>
      <c r="D24" s="40"/>
      <c r="E24" s="40"/>
      <c r="F24" s="40"/>
      <c r="G24" s="29"/>
      <c r="H24" s="30">
        <v>450000</v>
      </c>
      <c r="I24" s="31"/>
      <c r="J24" s="29"/>
      <c r="K24" s="223">
        <v>463200</v>
      </c>
      <c r="L24" s="31"/>
      <c r="M24" s="32">
        <v>100000</v>
      </c>
      <c r="N24" s="34"/>
      <c r="O24" s="33"/>
      <c r="P24" s="46"/>
      <c r="Q24" s="46"/>
      <c r="R24" s="59">
        <v>363200</v>
      </c>
      <c r="S24" s="171">
        <f t="shared" si="0"/>
        <v>100000</v>
      </c>
      <c r="T24" s="171"/>
      <c r="U24" s="171">
        <f t="shared" si="1"/>
        <v>463200</v>
      </c>
    </row>
    <row r="25" spans="1:21" ht="18" customHeight="1" x14ac:dyDescent="0.15">
      <c r="A25" s="39"/>
      <c r="B25" s="40"/>
      <c r="C25" s="372" t="s">
        <v>110</v>
      </c>
      <c r="D25" s="372"/>
      <c r="E25" s="372"/>
      <c r="F25" s="373"/>
      <c r="G25" s="29"/>
      <c r="H25" s="30">
        <v>150000</v>
      </c>
      <c r="I25" s="31"/>
      <c r="J25" s="29"/>
      <c r="K25" s="223">
        <f t="shared" ref="K25:K26" si="2">M25+N25+O25+P25+Q25+R25</f>
        <v>150000</v>
      </c>
      <c r="L25" s="31"/>
      <c r="M25" s="32"/>
      <c r="N25" s="34"/>
      <c r="O25" s="33"/>
      <c r="P25" s="46"/>
      <c r="Q25" s="46"/>
      <c r="R25" s="59">
        <v>150000</v>
      </c>
      <c r="S25" s="171">
        <f t="shared" si="0"/>
        <v>0</v>
      </c>
      <c r="T25" s="171"/>
      <c r="U25" s="171">
        <f t="shared" si="1"/>
        <v>150000</v>
      </c>
    </row>
    <row r="26" spans="1:21" ht="18" customHeight="1" x14ac:dyDescent="0.15">
      <c r="A26" s="39"/>
      <c r="B26" s="40"/>
      <c r="C26" s="40" t="s">
        <v>111</v>
      </c>
      <c r="D26" s="40"/>
      <c r="E26" s="40"/>
      <c r="F26" s="40"/>
      <c r="G26" s="29"/>
      <c r="H26" s="30">
        <v>200000</v>
      </c>
      <c r="I26" s="31"/>
      <c r="J26" s="29"/>
      <c r="K26" s="223">
        <f t="shared" si="2"/>
        <v>200000</v>
      </c>
      <c r="L26" s="31"/>
      <c r="M26" s="32"/>
      <c r="N26" s="34"/>
      <c r="O26" s="33"/>
      <c r="P26" s="46"/>
      <c r="Q26" s="46"/>
      <c r="R26" s="59">
        <v>200000</v>
      </c>
      <c r="S26" s="171">
        <f t="shared" si="0"/>
        <v>0</v>
      </c>
      <c r="T26" s="171"/>
      <c r="U26" s="171">
        <f t="shared" si="1"/>
        <v>200000</v>
      </c>
    </row>
    <row r="27" spans="1:21" ht="18" customHeight="1" x14ac:dyDescent="0.15">
      <c r="A27" s="39"/>
      <c r="B27" s="40" t="s">
        <v>34</v>
      </c>
      <c r="C27" s="40"/>
      <c r="D27" s="40"/>
      <c r="E27" s="40"/>
      <c r="F27" s="40"/>
      <c r="G27" s="29" t="s">
        <v>19</v>
      </c>
      <c r="H27" s="30">
        <f>SUM(H28:H29)</f>
        <v>937400</v>
      </c>
      <c r="I27" s="31" t="s">
        <v>20</v>
      </c>
      <c r="J27" s="29" t="s">
        <v>19</v>
      </c>
      <c r="K27" s="223">
        <f>SUM(K28:K29)</f>
        <v>1869000</v>
      </c>
      <c r="L27" s="31" t="s">
        <v>20</v>
      </c>
      <c r="M27" s="32"/>
      <c r="N27" s="34"/>
      <c r="O27" s="33"/>
      <c r="P27" s="46"/>
      <c r="Q27" s="46"/>
      <c r="R27" s="59"/>
      <c r="S27" s="171">
        <f t="shared" si="0"/>
        <v>0</v>
      </c>
      <c r="T27" s="171"/>
      <c r="U27" s="171">
        <f t="shared" si="1"/>
        <v>0</v>
      </c>
    </row>
    <row r="28" spans="1:21" ht="18" customHeight="1" x14ac:dyDescent="0.15">
      <c r="A28" s="39"/>
      <c r="B28" s="40"/>
      <c r="C28" s="40" t="s">
        <v>34</v>
      </c>
      <c r="D28" s="40"/>
      <c r="E28" s="40"/>
      <c r="F28" s="40"/>
      <c r="G28" s="29"/>
      <c r="H28" s="30">
        <v>305000</v>
      </c>
      <c r="I28" s="31"/>
      <c r="J28" s="29"/>
      <c r="K28" s="223">
        <v>1293000</v>
      </c>
      <c r="L28" s="31"/>
      <c r="M28" s="32"/>
      <c r="N28" s="34"/>
      <c r="O28" s="33"/>
      <c r="P28" s="46"/>
      <c r="Q28" s="46"/>
      <c r="R28" s="59">
        <v>1293000</v>
      </c>
      <c r="S28" s="171">
        <f t="shared" si="0"/>
        <v>0</v>
      </c>
      <c r="T28" s="171"/>
      <c r="U28" s="171">
        <f t="shared" si="1"/>
        <v>1293000</v>
      </c>
    </row>
    <row r="29" spans="1:21" ht="18" customHeight="1" x14ac:dyDescent="0.15">
      <c r="A29" s="39"/>
      <c r="B29" s="40"/>
      <c r="C29" s="40" t="s">
        <v>35</v>
      </c>
      <c r="D29" s="40"/>
      <c r="E29" s="40"/>
      <c r="F29" s="40"/>
      <c r="G29" s="29"/>
      <c r="H29" s="30">
        <v>632400</v>
      </c>
      <c r="I29" s="31"/>
      <c r="J29" s="29"/>
      <c r="K29" s="223">
        <v>576000</v>
      </c>
      <c r="L29" s="31"/>
      <c r="M29" s="32"/>
      <c r="N29" s="34"/>
      <c r="O29" s="33"/>
      <c r="P29" s="46"/>
      <c r="Q29" s="46">
        <v>576000</v>
      </c>
      <c r="R29" s="59"/>
      <c r="S29" s="171">
        <f t="shared" si="0"/>
        <v>0</v>
      </c>
      <c r="T29" s="171"/>
      <c r="U29" s="171">
        <f t="shared" si="1"/>
        <v>576000</v>
      </c>
    </row>
    <row r="30" spans="1:21" ht="18" customHeight="1" x14ac:dyDescent="0.15">
      <c r="A30" s="39"/>
      <c r="B30" s="40" t="s">
        <v>107</v>
      </c>
      <c r="C30" s="40"/>
      <c r="D30" s="40"/>
      <c r="E30" s="40"/>
      <c r="F30" s="40"/>
      <c r="G30" s="29" t="s">
        <v>19</v>
      </c>
      <c r="H30" s="30">
        <f>SUM(H31)</f>
        <v>0</v>
      </c>
      <c r="I30" s="31" t="s">
        <v>20</v>
      </c>
      <c r="J30" s="29" t="s">
        <v>19</v>
      </c>
      <c r="K30" s="223">
        <f>SUM(K31)</f>
        <v>0</v>
      </c>
      <c r="L30" s="31" t="s">
        <v>20</v>
      </c>
      <c r="M30" s="32"/>
      <c r="N30" s="34"/>
      <c r="O30" s="33"/>
      <c r="P30" s="46"/>
      <c r="Q30" s="46"/>
      <c r="R30" s="59"/>
      <c r="S30" s="171">
        <f t="shared" si="0"/>
        <v>0</v>
      </c>
      <c r="T30" s="171"/>
      <c r="U30" s="171">
        <f t="shared" si="1"/>
        <v>0</v>
      </c>
    </row>
    <row r="31" spans="1:21" ht="18" customHeight="1" x14ac:dyDescent="0.15">
      <c r="A31" s="39"/>
      <c r="B31" s="40"/>
      <c r="C31" s="40" t="s">
        <v>107</v>
      </c>
      <c r="D31" s="40"/>
      <c r="E31" s="40"/>
      <c r="F31" s="40"/>
      <c r="G31" s="29"/>
      <c r="H31" s="30">
        <v>0</v>
      </c>
      <c r="I31" s="31"/>
      <c r="J31" s="29"/>
      <c r="K31" s="223">
        <v>0</v>
      </c>
      <c r="L31" s="31"/>
      <c r="M31" s="32"/>
      <c r="N31" s="34"/>
      <c r="O31" s="33"/>
      <c r="P31" s="46"/>
      <c r="Q31" s="46"/>
      <c r="R31" s="59"/>
      <c r="S31" s="171">
        <f t="shared" si="0"/>
        <v>0</v>
      </c>
      <c r="T31" s="171"/>
      <c r="U31" s="171">
        <f t="shared" si="1"/>
        <v>0</v>
      </c>
    </row>
    <row r="32" spans="1:21" ht="18" customHeight="1" x14ac:dyDescent="0.15">
      <c r="A32" s="39"/>
      <c r="B32" s="40" t="s">
        <v>36</v>
      </c>
      <c r="C32" s="60"/>
      <c r="D32" s="40"/>
      <c r="E32" s="40"/>
      <c r="F32" s="40"/>
      <c r="G32" s="29" t="s">
        <v>19</v>
      </c>
      <c r="H32" s="30">
        <f>SUM(H33:H34)</f>
        <v>871000</v>
      </c>
      <c r="I32" s="31" t="s">
        <v>20</v>
      </c>
      <c r="J32" s="29" t="s">
        <v>21</v>
      </c>
      <c r="K32" s="223">
        <f>SUM(K33:K34)</f>
        <v>421000</v>
      </c>
      <c r="L32" s="31" t="s">
        <v>22</v>
      </c>
      <c r="M32" s="32"/>
      <c r="N32" s="34"/>
      <c r="O32" s="33"/>
      <c r="P32" s="46"/>
      <c r="Q32" s="46"/>
      <c r="R32" s="59"/>
      <c r="S32" s="171">
        <f t="shared" si="0"/>
        <v>0</v>
      </c>
      <c r="T32" s="171"/>
      <c r="U32" s="171">
        <f t="shared" si="1"/>
        <v>0</v>
      </c>
    </row>
    <row r="33" spans="1:21" ht="18" customHeight="1" x14ac:dyDescent="0.15">
      <c r="A33" s="39"/>
      <c r="B33" s="40"/>
      <c r="C33" s="40" t="s">
        <v>37</v>
      </c>
      <c r="D33" s="40"/>
      <c r="E33" s="40"/>
      <c r="F33" s="40"/>
      <c r="G33" s="29"/>
      <c r="H33" s="30">
        <v>1000</v>
      </c>
      <c r="I33" s="31"/>
      <c r="J33" s="29"/>
      <c r="K33" s="223">
        <f>SUM(M33:R33)</f>
        <v>1000</v>
      </c>
      <c r="L33" s="31"/>
      <c r="M33" s="32"/>
      <c r="N33" s="34"/>
      <c r="O33" s="33"/>
      <c r="P33" s="46"/>
      <c r="Q33" s="46"/>
      <c r="R33" s="59">
        <v>1000</v>
      </c>
      <c r="S33" s="171">
        <f t="shared" si="0"/>
        <v>0</v>
      </c>
      <c r="T33" s="171"/>
      <c r="U33" s="171">
        <f t="shared" si="1"/>
        <v>1000</v>
      </c>
    </row>
    <row r="34" spans="1:21" ht="23.25" customHeight="1" x14ac:dyDescent="0.15">
      <c r="A34" s="39"/>
      <c r="B34" s="40"/>
      <c r="C34" s="40" t="s">
        <v>36</v>
      </c>
      <c r="D34" s="40"/>
      <c r="E34" s="40"/>
      <c r="F34" s="40"/>
      <c r="G34" s="29"/>
      <c r="H34" s="30">
        <v>870000</v>
      </c>
      <c r="I34" s="31"/>
      <c r="J34" s="29"/>
      <c r="K34" s="223">
        <v>420000</v>
      </c>
      <c r="L34" s="31"/>
      <c r="M34" s="32"/>
      <c r="N34" s="34"/>
      <c r="O34" s="33"/>
      <c r="P34" s="46"/>
      <c r="Q34" s="61"/>
      <c r="R34" s="62">
        <v>420000</v>
      </c>
      <c r="S34" s="171">
        <f t="shared" si="0"/>
        <v>0</v>
      </c>
      <c r="T34" s="171"/>
      <c r="U34" s="171">
        <f t="shared" si="1"/>
        <v>420000</v>
      </c>
    </row>
    <row r="35" spans="1:21" ht="18.75" customHeight="1" x14ac:dyDescent="0.15">
      <c r="A35" s="63"/>
      <c r="B35" s="64"/>
      <c r="C35" s="65" t="s">
        <v>38</v>
      </c>
      <c r="D35" s="64"/>
      <c r="E35" s="65"/>
      <c r="F35" s="219"/>
      <c r="G35" s="66"/>
      <c r="H35" s="67">
        <f>SUM(H10,H12,H14,H16,H22,H27,H30,H32,)</f>
        <v>74679000</v>
      </c>
      <c r="I35" s="68"/>
      <c r="J35" s="66"/>
      <c r="K35" s="67">
        <f>K10+K12+K14+K16+K22+K27+K30+K32</f>
        <v>75332600</v>
      </c>
      <c r="L35" s="68"/>
      <c r="M35" s="69">
        <f t="shared" ref="M35:R35" si="3">SUM(M10:M34)</f>
        <v>30646889</v>
      </c>
      <c r="N35" s="71">
        <f t="shared" si="3"/>
        <v>5203805</v>
      </c>
      <c r="O35" s="70">
        <f t="shared" si="3"/>
        <v>6228206</v>
      </c>
      <c r="P35" s="73">
        <f t="shared" si="3"/>
        <v>1450000</v>
      </c>
      <c r="Q35" s="73">
        <f t="shared" si="3"/>
        <v>21775500</v>
      </c>
      <c r="R35" s="74">
        <f t="shared" si="3"/>
        <v>10028200</v>
      </c>
      <c r="S35" s="171">
        <f t="shared" si="0"/>
        <v>42078900</v>
      </c>
      <c r="T35" s="171"/>
      <c r="U35" s="171">
        <f>SUM(P35:S35)</f>
        <v>75332600</v>
      </c>
    </row>
    <row r="36" spans="1:21" ht="18.75" customHeight="1" x14ac:dyDescent="0.15">
      <c r="A36" s="75"/>
      <c r="B36" s="28" t="s">
        <v>39</v>
      </c>
      <c r="C36" s="76"/>
      <c r="D36" s="76"/>
      <c r="G36" s="49"/>
      <c r="H36" s="44"/>
      <c r="I36" s="50"/>
      <c r="J36" s="49"/>
      <c r="K36" s="44"/>
      <c r="L36" s="50"/>
      <c r="M36" s="51"/>
      <c r="N36" s="53"/>
      <c r="O36" s="52"/>
      <c r="P36" s="78"/>
      <c r="Q36" s="78"/>
      <c r="R36" s="79"/>
      <c r="S36" s="171">
        <f t="shared" si="0"/>
        <v>0</v>
      </c>
      <c r="T36" s="171"/>
      <c r="U36" s="171">
        <f t="shared" si="1"/>
        <v>0</v>
      </c>
    </row>
    <row r="37" spans="1:21" ht="18.75" customHeight="1" x14ac:dyDescent="0.15">
      <c r="A37" s="58"/>
      <c r="B37" s="40" t="s">
        <v>40</v>
      </c>
      <c r="C37" s="40"/>
      <c r="D37" s="42"/>
      <c r="E37" s="40"/>
      <c r="F37" s="40"/>
      <c r="G37" s="29" t="s">
        <v>21</v>
      </c>
      <c r="H37" s="30">
        <f>SUM(H38+H51+H60+H74+H76)</f>
        <v>40271850</v>
      </c>
      <c r="I37" s="31" t="s">
        <v>20</v>
      </c>
      <c r="J37" s="29" t="s">
        <v>21</v>
      </c>
      <c r="K37" s="223">
        <f>SUM(K38+K51+K60+K74+K76)</f>
        <v>43745397</v>
      </c>
      <c r="L37" s="31" t="s">
        <v>22</v>
      </c>
      <c r="M37" s="32"/>
      <c r="N37" s="34"/>
      <c r="O37" s="33"/>
      <c r="P37" s="46"/>
      <c r="Q37" s="46"/>
      <c r="R37" s="47"/>
      <c r="S37" s="171">
        <f t="shared" si="0"/>
        <v>0</v>
      </c>
      <c r="T37" s="171"/>
      <c r="U37" s="171">
        <f t="shared" si="1"/>
        <v>0</v>
      </c>
    </row>
    <row r="38" spans="1:21" ht="18.75" customHeight="1" x14ac:dyDescent="0.15">
      <c r="A38" s="58"/>
      <c r="B38" s="366" t="s">
        <v>41</v>
      </c>
      <c r="C38" s="367"/>
      <c r="D38" s="367"/>
      <c r="E38" s="367"/>
      <c r="F38" s="368"/>
      <c r="G38" s="29" t="s">
        <v>162</v>
      </c>
      <c r="H38" s="30">
        <f>SUM(H39:H50)</f>
        <v>13664200</v>
      </c>
      <c r="I38" s="31" t="s">
        <v>20</v>
      </c>
      <c r="J38" s="29" t="s">
        <v>162</v>
      </c>
      <c r="K38" s="30">
        <f>SUM(K39:K50)</f>
        <v>17189200</v>
      </c>
      <c r="L38" s="31" t="s">
        <v>163</v>
      </c>
      <c r="M38" s="32"/>
      <c r="N38" s="34"/>
      <c r="O38" s="33"/>
      <c r="P38" s="46"/>
      <c r="Q38" s="46"/>
      <c r="R38" s="47"/>
      <c r="S38" s="171">
        <f t="shared" si="0"/>
        <v>0</v>
      </c>
      <c r="T38" s="171"/>
      <c r="U38" s="171">
        <f t="shared" si="1"/>
        <v>0</v>
      </c>
    </row>
    <row r="39" spans="1:21" ht="18.75" customHeight="1" x14ac:dyDescent="0.15">
      <c r="A39" s="58"/>
      <c r="B39" s="40"/>
      <c r="C39" s="40" t="s">
        <v>147</v>
      </c>
      <c r="D39" s="42"/>
      <c r="E39" s="40"/>
      <c r="F39" s="40"/>
      <c r="G39" s="29"/>
      <c r="H39" s="30">
        <v>194000</v>
      </c>
      <c r="I39" s="31"/>
      <c r="J39" s="29"/>
      <c r="K39" s="30">
        <f>M39</f>
        <v>194000</v>
      </c>
      <c r="L39" s="31"/>
      <c r="M39" s="32">
        <f>'⑪R07正味 (詳細)'!K39</f>
        <v>194000</v>
      </c>
      <c r="N39" s="34"/>
      <c r="O39" s="33"/>
      <c r="P39" s="46"/>
      <c r="Q39" s="46"/>
      <c r="R39" s="47"/>
      <c r="S39" s="171">
        <f t="shared" si="0"/>
        <v>194000</v>
      </c>
      <c r="T39" s="171"/>
      <c r="U39" s="171">
        <f t="shared" si="1"/>
        <v>194000</v>
      </c>
    </row>
    <row r="40" spans="1:21" ht="18.75" customHeight="1" x14ac:dyDescent="0.15">
      <c r="A40" s="287"/>
      <c r="B40" s="40"/>
      <c r="C40" s="40" t="s">
        <v>148</v>
      </c>
      <c r="D40" s="42"/>
      <c r="E40" s="40"/>
      <c r="F40" s="40"/>
      <c r="G40" s="29"/>
      <c r="H40" s="30">
        <v>577000</v>
      </c>
      <c r="I40" s="31"/>
      <c r="J40" s="29"/>
      <c r="K40" s="30">
        <v>611000</v>
      </c>
      <c r="L40" s="31"/>
      <c r="M40" s="32">
        <v>611000</v>
      </c>
      <c r="N40" s="34"/>
      <c r="O40" s="33"/>
      <c r="P40" s="46"/>
      <c r="Q40" s="46"/>
      <c r="R40" s="47"/>
      <c r="S40" s="171">
        <f t="shared" si="0"/>
        <v>611000</v>
      </c>
      <c r="T40" s="171"/>
      <c r="U40" s="171">
        <f t="shared" si="1"/>
        <v>611000</v>
      </c>
    </row>
    <row r="41" spans="1:21" ht="18.75" customHeight="1" x14ac:dyDescent="0.15">
      <c r="A41" s="287"/>
      <c r="B41" s="40"/>
      <c r="C41" s="40" t="s">
        <v>149</v>
      </c>
      <c r="D41" s="42"/>
      <c r="E41" s="40"/>
      <c r="F41" s="40"/>
      <c r="G41" s="29"/>
      <c r="H41" s="30">
        <v>2869000</v>
      </c>
      <c r="I41" s="31"/>
      <c r="J41" s="29"/>
      <c r="K41" s="30">
        <v>3092000</v>
      </c>
      <c r="L41" s="31"/>
      <c r="M41" s="32">
        <v>3092000</v>
      </c>
      <c r="N41" s="34"/>
      <c r="O41" s="33"/>
      <c r="P41" s="46"/>
      <c r="Q41" s="46"/>
      <c r="R41" s="47"/>
      <c r="S41" s="171">
        <f t="shared" si="0"/>
        <v>3092000</v>
      </c>
      <c r="T41" s="171"/>
      <c r="U41" s="171">
        <f t="shared" si="1"/>
        <v>3092000</v>
      </c>
    </row>
    <row r="42" spans="1:21" ht="18.75" customHeight="1" x14ac:dyDescent="0.15">
      <c r="A42" s="287"/>
      <c r="B42" s="40"/>
      <c r="C42" s="40" t="s">
        <v>150</v>
      </c>
      <c r="D42" s="42"/>
      <c r="E42" s="40"/>
      <c r="F42" s="40"/>
      <c r="G42" s="29"/>
      <c r="H42" s="30">
        <v>1331000</v>
      </c>
      <c r="I42" s="31"/>
      <c r="J42" s="29"/>
      <c r="K42" s="30">
        <v>1090000</v>
      </c>
      <c r="L42" s="31"/>
      <c r="M42" s="32">
        <v>1090000</v>
      </c>
      <c r="N42" s="34"/>
      <c r="O42" s="33"/>
      <c r="P42" s="46"/>
      <c r="Q42" s="46"/>
      <c r="R42" s="47"/>
      <c r="S42" s="171">
        <f t="shared" si="0"/>
        <v>1090000</v>
      </c>
      <c r="T42" s="171"/>
      <c r="U42" s="171">
        <f t="shared" si="1"/>
        <v>1090000</v>
      </c>
    </row>
    <row r="43" spans="1:21" ht="18.75" customHeight="1" x14ac:dyDescent="0.15">
      <c r="A43" s="287"/>
      <c r="B43" s="40"/>
      <c r="C43" s="40" t="s">
        <v>151</v>
      </c>
      <c r="D43" s="42"/>
      <c r="E43" s="40"/>
      <c r="F43" s="40"/>
      <c r="G43" s="29"/>
      <c r="H43" s="30">
        <v>5398000</v>
      </c>
      <c r="I43" s="31"/>
      <c r="J43" s="29"/>
      <c r="K43" s="30">
        <v>6450000</v>
      </c>
      <c r="L43" s="31"/>
      <c r="M43" s="32">
        <v>6450000</v>
      </c>
      <c r="N43" s="34"/>
      <c r="O43" s="33"/>
      <c r="P43" s="46"/>
      <c r="Q43" s="46"/>
      <c r="R43" s="47"/>
      <c r="S43" s="171">
        <f t="shared" si="0"/>
        <v>6450000</v>
      </c>
      <c r="T43" s="171"/>
      <c r="U43" s="306">
        <f t="shared" si="1"/>
        <v>6450000</v>
      </c>
    </row>
    <row r="44" spans="1:21" ht="18.75" customHeight="1" x14ac:dyDescent="0.15">
      <c r="A44" s="287"/>
      <c r="B44" s="40"/>
      <c r="C44" s="40" t="s">
        <v>152</v>
      </c>
      <c r="D44" s="42"/>
      <c r="E44" s="40"/>
      <c r="F44" s="40"/>
      <c r="G44" s="29"/>
      <c r="H44" s="30">
        <v>320000</v>
      </c>
      <c r="I44" s="31"/>
      <c r="J44" s="29"/>
      <c r="K44" s="30">
        <f t="shared" ref="K44:K46" si="4">M44</f>
        <v>320000</v>
      </c>
      <c r="L44" s="31"/>
      <c r="M44" s="32">
        <f>'⑪R07正味 (詳細)'!K44</f>
        <v>320000</v>
      </c>
      <c r="N44" s="34"/>
      <c r="O44" s="33"/>
      <c r="P44" s="46"/>
      <c r="Q44" s="46"/>
      <c r="R44" s="47"/>
      <c r="S44" s="171">
        <f t="shared" si="0"/>
        <v>320000</v>
      </c>
      <c r="T44" s="171"/>
      <c r="U44" s="171">
        <f t="shared" si="1"/>
        <v>320000</v>
      </c>
    </row>
    <row r="45" spans="1:21" ht="18.75" customHeight="1" x14ac:dyDescent="0.15">
      <c r="A45" s="287"/>
      <c r="B45" s="40"/>
      <c r="C45" s="40" t="s">
        <v>153</v>
      </c>
      <c r="D45" s="42"/>
      <c r="E45" s="40"/>
      <c r="F45" s="40"/>
      <c r="G45" s="29"/>
      <c r="H45" s="30">
        <v>456000</v>
      </c>
      <c r="I45" s="31"/>
      <c r="J45" s="29"/>
      <c r="K45" s="30">
        <v>705000</v>
      </c>
      <c r="L45" s="31"/>
      <c r="M45" s="32">
        <v>705000</v>
      </c>
      <c r="N45" s="34"/>
      <c r="O45" s="33"/>
      <c r="P45" s="46"/>
      <c r="Q45" s="46"/>
      <c r="R45" s="47"/>
      <c r="S45" s="171">
        <f t="shared" si="0"/>
        <v>705000</v>
      </c>
      <c r="T45" s="171"/>
      <c r="U45" s="171">
        <f t="shared" si="1"/>
        <v>705000</v>
      </c>
    </row>
    <row r="46" spans="1:21" ht="18.75" customHeight="1" x14ac:dyDescent="0.15">
      <c r="A46" s="287"/>
      <c r="B46" s="40"/>
      <c r="C46" s="40" t="s">
        <v>154</v>
      </c>
      <c r="D46" s="42"/>
      <c r="E46" s="40"/>
      <c r="F46" s="40"/>
      <c r="G46" s="29"/>
      <c r="H46" s="30">
        <v>0</v>
      </c>
      <c r="I46" s="31"/>
      <c r="J46" s="29"/>
      <c r="K46" s="30">
        <f t="shared" si="4"/>
        <v>0</v>
      </c>
      <c r="L46" s="31"/>
      <c r="M46" s="32">
        <f>'⑪R07正味 (詳細)'!K46</f>
        <v>0</v>
      </c>
      <c r="N46" s="34"/>
      <c r="O46" s="33"/>
      <c r="P46" s="46"/>
      <c r="Q46" s="46"/>
      <c r="R46" s="47"/>
      <c r="S46" s="171">
        <f t="shared" si="0"/>
        <v>0</v>
      </c>
      <c r="T46" s="171"/>
      <c r="U46" s="171">
        <f t="shared" si="1"/>
        <v>0</v>
      </c>
    </row>
    <row r="47" spans="1:21" ht="18.75" customHeight="1" x14ac:dyDescent="0.15">
      <c r="A47" s="287"/>
      <c r="B47" s="40"/>
      <c r="C47" s="40" t="s">
        <v>155</v>
      </c>
      <c r="D47" s="42"/>
      <c r="E47" s="40"/>
      <c r="F47" s="40"/>
      <c r="G47" s="29"/>
      <c r="H47" s="30">
        <v>1328000</v>
      </c>
      <c r="I47" s="31"/>
      <c r="J47" s="29"/>
      <c r="K47" s="30">
        <v>3058000</v>
      </c>
      <c r="L47" s="31"/>
      <c r="M47" s="32">
        <v>3058000</v>
      </c>
      <c r="N47" s="34"/>
      <c r="O47" s="33"/>
      <c r="P47" s="46"/>
      <c r="Q47" s="46"/>
      <c r="R47" s="47"/>
      <c r="S47" s="171">
        <f t="shared" si="0"/>
        <v>3058000</v>
      </c>
      <c r="T47" s="171"/>
      <c r="U47" s="171">
        <f t="shared" si="1"/>
        <v>3058000</v>
      </c>
    </row>
    <row r="48" spans="1:21" ht="18.75" customHeight="1" x14ac:dyDescent="0.15">
      <c r="A48" s="287"/>
      <c r="B48" s="40"/>
      <c r="C48" s="40" t="s">
        <v>156</v>
      </c>
      <c r="D48" s="42"/>
      <c r="E48" s="40"/>
      <c r="F48" s="40"/>
      <c r="G48" s="29"/>
      <c r="H48" s="30">
        <v>100000</v>
      </c>
      <c r="I48" s="31"/>
      <c r="J48" s="29"/>
      <c r="K48" s="30">
        <v>125000</v>
      </c>
      <c r="L48" s="31"/>
      <c r="M48" s="32">
        <v>125000</v>
      </c>
      <c r="N48" s="34"/>
      <c r="O48" s="33"/>
      <c r="P48" s="46"/>
      <c r="Q48" s="46"/>
      <c r="R48" s="47"/>
      <c r="S48" s="171">
        <f t="shared" si="0"/>
        <v>125000</v>
      </c>
      <c r="T48" s="171"/>
      <c r="U48" s="171">
        <f t="shared" si="1"/>
        <v>125000</v>
      </c>
    </row>
    <row r="49" spans="1:23" ht="18.75" customHeight="1" x14ac:dyDescent="0.15">
      <c r="A49" s="287"/>
      <c r="B49" s="40"/>
      <c r="C49" s="40" t="s">
        <v>157</v>
      </c>
      <c r="D49" s="42"/>
      <c r="E49" s="40"/>
      <c r="F49" s="40"/>
      <c r="G49" s="29"/>
      <c r="H49" s="30">
        <v>206000</v>
      </c>
      <c r="I49" s="31"/>
      <c r="J49" s="29"/>
      <c r="K49" s="30">
        <v>190000</v>
      </c>
      <c r="L49" s="31"/>
      <c r="M49" s="32">
        <v>190000</v>
      </c>
      <c r="N49" s="34"/>
      <c r="O49" s="33"/>
      <c r="P49" s="46"/>
      <c r="Q49" s="46"/>
      <c r="R49" s="47"/>
      <c r="S49" s="171">
        <f t="shared" si="0"/>
        <v>190000</v>
      </c>
      <c r="T49" s="171"/>
      <c r="U49" s="171">
        <f t="shared" si="1"/>
        <v>190000</v>
      </c>
    </row>
    <row r="50" spans="1:23" ht="18.75" customHeight="1" x14ac:dyDescent="0.15">
      <c r="A50" s="287"/>
      <c r="B50" s="40"/>
      <c r="C50" s="40" t="s">
        <v>158</v>
      </c>
      <c r="D50" s="42"/>
      <c r="E50" s="40"/>
      <c r="F50" s="40"/>
      <c r="G50" s="29"/>
      <c r="H50" s="30">
        <v>885200</v>
      </c>
      <c r="I50" s="31"/>
      <c r="J50" s="29"/>
      <c r="K50" s="30">
        <v>1354200</v>
      </c>
      <c r="L50" s="31"/>
      <c r="M50" s="32">
        <v>1354200</v>
      </c>
      <c r="N50" s="34"/>
      <c r="O50" s="33"/>
      <c r="P50" s="46"/>
      <c r="Q50" s="46"/>
      <c r="R50" s="47"/>
      <c r="S50" s="171">
        <f t="shared" si="0"/>
        <v>1354200</v>
      </c>
      <c r="T50" s="171"/>
      <c r="U50" s="171">
        <f t="shared" si="1"/>
        <v>1354200</v>
      </c>
      <c r="W50" s="171">
        <f>SUM(U39:U50)</f>
        <v>17189200</v>
      </c>
    </row>
    <row r="51" spans="1:23" ht="18.75" customHeight="1" x14ac:dyDescent="0.15">
      <c r="A51" s="287"/>
      <c r="B51" s="366" t="s">
        <v>42</v>
      </c>
      <c r="C51" s="367"/>
      <c r="D51" s="367"/>
      <c r="E51" s="367"/>
      <c r="F51" s="368"/>
      <c r="G51" s="29" t="s">
        <v>162</v>
      </c>
      <c r="H51" s="30">
        <f>SUM(H52:H59)</f>
        <v>2005550</v>
      </c>
      <c r="I51" s="31" t="s">
        <v>20</v>
      </c>
      <c r="J51" s="29" t="s">
        <v>162</v>
      </c>
      <c r="K51" s="30">
        <f>SUM(K52:K59)</f>
        <v>3052550</v>
      </c>
      <c r="L51" s="31" t="s">
        <v>163</v>
      </c>
      <c r="M51" s="32"/>
      <c r="N51" s="34"/>
      <c r="O51" s="33"/>
      <c r="P51" s="46"/>
      <c r="Q51" s="46"/>
      <c r="R51" s="47"/>
      <c r="S51" s="171">
        <f t="shared" si="0"/>
        <v>0</v>
      </c>
      <c r="T51" s="171"/>
      <c r="U51" s="171">
        <f t="shared" si="1"/>
        <v>0</v>
      </c>
    </row>
    <row r="52" spans="1:23" ht="18.75" customHeight="1" x14ac:dyDescent="0.15">
      <c r="A52" s="287"/>
      <c r="B52" s="40"/>
      <c r="C52" s="377" t="s">
        <v>148</v>
      </c>
      <c r="D52" s="377"/>
      <c r="E52" s="377"/>
      <c r="F52" s="220"/>
      <c r="G52" s="29"/>
      <c r="H52" s="30">
        <v>30000</v>
      </c>
      <c r="I52" s="31"/>
      <c r="J52" s="29"/>
      <c r="K52" s="30">
        <v>30000</v>
      </c>
      <c r="L52" s="31"/>
      <c r="M52" s="32"/>
      <c r="N52" s="34">
        <v>30000</v>
      </c>
      <c r="O52" s="33"/>
      <c r="P52" s="46"/>
      <c r="Q52" s="46"/>
      <c r="R52" s="47"/>
      <c r="S52" s="171"/>
      <c r="T52" s="171"/>
      <c r="U52" s="171">
        <f t="shared" si="1"/>
        <v>0</v>
      </c>
    </row>
    <row r="53" spans="1:23" ht="18.75" customHeight="1" x14ac:dyDescent="0.15">
      <c r="A53" s="287"/>
      <c r="B53" s="40"/>
      <c r="C53" s="40" t="s">
        <v>149</v>
      </c>
      <c r="D53" s="42"/>
      <c r="E53" s="40"/>
      <c r="F53" s="40"/>
      <c r="G53" s="29"/>
      <c r="H53" s="30">
        <v>190000</v>
      </c>
      <c r="I53" s="31"/>
      <c r="J53" s="29"/>
      <c r="K53" s="30">
        <v>116000</v>
      </c>
      <c r="L53" s="31"/>
      <c r="M53" s="32"/>
      <c r="N53" s="34">
        <v>116000</v>
      </c>
      <c r="O53" s="33"/>
      <c r="P53" s="46"/>
      <c r="Q53" s="46"/>
      <c r="R53" s="47"/>
      <c r="S53" s="171">
        <f t="shared" si="0"/>
        <v>116000</v>
      </c>
      <c r="T53" s="171"/>
      <c r="U53" s="171">
        <f t="shared" si="1"/>
        <v>116000</v>
      </c>
    </row>
    <row r="54" spans="1:23" ht="18.75" customHeight="1" x14ac:dyDescent="0.15">
      <c r="A54" s="287"/>
      <c r="B54" s="40"/>
      <c r="C54" s="40" t="s">
        <v>150</v>
      </c>
      <c r="D54" s="42"/>
      <c r="E54" s="40"/>
      <c r="F54" s="40"/>
      <c r="G54" s="29"/>
      <c r="H54" s="30">
        <v>24000</v>
      </c>
      <c r="I54" s="31"/>
      <c r="J54" s="29"/>
      <c r="K54" s="30">
        <f t="shared" ref="K54:K55" si="5">N54</f>
        <v>24000</v>
      </c>
      <c r="L54" s="31"/>
      <c r="M54" s="32"/>
      <c r="N54" s="34">
        <v>24000</v>
      </c>
      <c r="O54" s="33"/>
      <c r="P54" s="46"/>
      <c r="Q54" s="46"/>
      <c r="R54" s="47"/>
      <c r="S54" s="171">
        <f t="shared" si="0"/>
        <v>24000</v>
      </c>
      <c r="T54" s="171"/>
      <c r="U54" s="171">
        <f t="shared" si="1"/>
        <v>24000</v>
      </c>
    </row>
    <row r="55" spans="1:23" ht="18.75" customHeight="1" x14ac:dyDescent="0.15">
      <c r="A55" s="287"/>
      <c r="B55" s="40"/>
      <c r="C55" s="372" t="s">
        <v>151</v>
      </c>
      <c r="D55" s="372"/>
      <c r="E55" s="372"/>
      <c r="F55" s="40"/>
      <c r="G55" s="29"/>
      <c r="H55" s="30">
        <v>0</v>
      </c>
      <c r="I55" s="31"/>
      <c r="J55" s="29"/>
      <c r="K55" s="30">
        <f t="shared" si="5"/>
        <v>0</v>
      </c>
      <c r="L55" s="31"/>
      <c r="M55" s="32"/>
      <c r="N55" s="34"/>
      <c r="O55" s="33"/>
      <c r="P55" s="46"/>
      <c r="Q55" s="46"/>
      <c r="R55" s="47"/>
      <c r="S55" s="171">
        <f t="shared" si="0"/>
        <v>0</v>
      </c>
      <c r="T55" s="171"/>
      <c r="U55" s="171">
        <f t="shared" si="1"/>
        <v>0</v>
      </c>
    </row>
    <row r="56" spans="1:23" ht="18.75" customHeight="1" x14ac:dyDescent="0.15">
      <c r="A56" s="287"/>
      <c r="B56" s="40"/>
      <c r="C56" s="40" t="s">
        <v>152</v>
      </c>
      <c r="D56" s="42"/>
      <c r="E56" s="40"/>
      <c r="F56" s="40"/>
      <c r="G56" s="29"/>
      <c r="H56" s="30">
        <v>940000</v>
      </c>
      <c r="I56" s="31"/>
      <c r="J56" s="29"/>
      <c r="K56" s="30">
        <v>1810000</v>
      </c>
      <c r="L56" s="31"/>
      <c r="M56" s="32"/>
      <c r="N56" s="34">
        <v>1810000</v>
      </c>
      <c r="O56" s="33"/>
      <c r="P56" s="46"/>
      <c r="Q56" s="46"/>
      <c r="R56" s="47"/>
      <c r="S56" s="171">
        <f t="shared" si="0"/>
        <v>1810000</v>
      </c>
      <c r="T56" s="171"/>
      <c r="U56" s="171">
        <f t="shared" si="1"/>
        <v>1810000</v>
      </c>
    </row>
    <row r="57" spans="1:23" ht="18.75" customHeight="1" x14ac:dyDescent="0.15">
      <c r="A57" s="287"/>
      <c r="B57" s="40"/>
      <c r="C57" s="40" t="s">
        <v>155</v>
      </c>
      <c r="D57" s="42"/>
      <c r="E57" s="40"/>
      <c r="F57" s="40"/>
      <c r="G57" s="29"/>
      <c r="H57" s="30">
        <v>520000</v>
      </c>
      <c r="I57" s="31"/>
      <c r="J57" s="29"/>
      <c r="K57" s="30">
        <v>760000</v>
      </c>
      <c r="L57" s="31"/>
      <c r="M57" s="32"/>
      <c r="N57" s="34">
        <v>760000</v>
      </c>
      <c r="O57" s="33"/>
      <c r="P57" s="46"/>
      <c r="Q57" s="46"/>
      <c r="R57" s="47"/>
      <c r="S57" s="171">
        <f t="shared" si="0"/>
        <v>760000</v>
      </c>
      <c r="T57" s="171"/>
      <c r="U57" s="171">
        <f t="shared" si="1"/>
        <v>760000</v>
      </c>
    </row>
    <row r="58" spans="1:23" ht="18.75" customHeight="1" x14ac:dyDescent="0.15">
      <c r="A58" s="287"/>
      <c r="B58" s="40"/>
      <c r="C58" s="40" t="s">
        <v>156</v>
      </c>
      <c r="D58" s="42"/>
      <c r="E58" s="40"/>
      <c r="F58" s="40"/>
      <c r="G58" s="29"/>
      <c r="H58" s="30">
        <v>10000</v>
      </c>
      <c r="I58" s="31"/>
      <c r="J58" s="29"/>
      <c r="K58" s="30">
        <v>0</v>
      </c>
      <c r="L58" s="31"/>
      <c r="M58" s="32"/>
      <c r="N58" s="34">
        <v>0</v>
      </c>
      <c r="O58" s="33"/>
      <c r="P58" s="46"/>
      <c r="Q58" s="46"/>
      <c r="R58" s="47"/>
      <c r="S58" s="171">
        <f t="shared" si="0"/>
        <v>0</v>
      </c>
      <c r="T58" s="171"/>
      <c r="U58" s="171">
        <f t="shared" si="1"/>
        <v>0</v>
      </c>
    </row>
    <row r="59" spans="1:23" ht="18.75" customHeight="1" x14ac:dyDescent="0.15">
      <c r="A59" s="287"/>
      <c r="B59" s="40"/>
      <c r="C59" s="40" t="s">
        <v>158</v>
      </c>
      <c r="D59" s="42"/>
      <c r="E59" s="40"/>
      <c r="F59" s="40"/>
      <c r="G59" s="29"/>
      <c r="H59" s="30">
        <v>291550</v>
      </c>
      <c r="I59" s="31"/>
      <c r="J59" s="29"/>
      <c r="K59" s="30">
        <v>312550</v>
      </c>
      <c r="L59" s="31"/>
      <c r="M59" s="32"/>
      <c r="N59" s="34">
        <v>312550</v>
      </c>
      <c r="O59" s="33"/>
      <c r="P59" s="46"/>
      <c r="Q59" s="46"/>
      <c r="R59" s="47"/>
      <c r="S59" s="171">
        <f t="shared" si="0"/>
        <v>312550</v>
      </c>
      <c r="T59" s="171"/>
      <c r="U59" s="171">
        <f t="shared" si="1"/>
        <v>312550</v>
      </c>
    </row>
    <row r="60" spans="1:23" ht="18.75" customHeight="1" x14ac:dyDescent="0.15">
      <c r="A60" s="287"/>
      <c r="B60" s="366" t="s">
        <v>43</v>
      </c>
      <c r="C60" s="367"/>
      <c r="D60" s="367"/>
      <c r="E60" s="367"/>
      <c r="F60" s="368"/>
      <c r="G60" s="29" t="s">
        <v>162</v>
      </c>
      <c r="H60" s="30">
        <f>SUM(H61:H73)</f>
        <v>6971000</v>
      </c>
      <c r="I60" s="31" t="s">
        <v>20</v>
      </c>
      <c r="J60" s="29" t="s">
        <v>162</v>
      </c>
      <c r="K60" s="30">
        <f>SUM(K61:K73)</f>
        <v>4645000</v>
      </c>
      <c r="L60" s="31" t="s">
        <v>163</v>
      </c>
      <c r="M60" s="32"/>
      <c r="N60" s="34"/>
      <c r="O60" s="33"/>
      <c r="P60" s="46"/>
      <c r="Q60" s="46"/>
      <c r="R60" s="47"/>
      <c r="S60" s="171">
        <f t="shared" si="0"/>
        <v>0</v>
      </c>
      <c r="T60" s="171"/>
      <c r="U60" s="171">
        <f t="shared" si="1"/>
        <v>0</v>
      </c>
    </row>
    <row r="61" spans="1:23" ht="18.75" customHeight="1" x14ac:dyDescent="0.15">
      <c r="A61" s="287"/>
      <c r="B61" s="40"/>
      <c r="C61" s="40" t="s">
        <v>147</v>
      </c>
      <c r="D61" s="42"/>
      <c r="E61" s="40"/>
      <c r="F61" s="40"/>
      <c r="G61" s="29"/>
      <c r="H61" s="30">
        <v>240000</v>
      </c>
      <c r="I61" s="31"/>
      <c r="J61" s="29"/>
      <c r="K61" s="30">
        <v>0</v>
      </c>
      <c r="L61" s="31"/>
      <c r="M61" s="32"/>
      <c r="N61" s="34"/>
      <c r="O61" s="33"/>
      <c r="P61" s="46"/>
      <c r="Q61" s="46"/>
      <c r="R61" s="47"/>
      <c r="S61" s="171">
        <f t="shared" si="0"/>
        <v>0</v>
      </c>
      <c r="T61" s="171"/>
      <c r="U61" s="171">
        <f t="shared" si="1"/>
        <v>0</v>
      </c>
    </row>
    <row r="62" spans="1:23" ht="18.75" customHeight="1" x14ac:dyDescent="0.15">
      <c r="A62" s="287"/>
      <c r="B62" s="40"/>
      <c r="C62" s="40" t="s">
        <v>148</v>
      </c>
      <c r="D62" s="42"/>
      <c r="E62" s="40"/>
      <c r="F62" s="40"/>
      <c r="G62" s="29"/>
      <c r="H62" s="30">
        <v>70000</v>
      </c>
      <c r="I62" s="31"/>
      <c r="J62" s="29"/>
      <c r="K62" s="30">
        <v>0</v>
      </c>
      <c r="L62" s="31"/>
      <c r="M62" s="32"/>
      <c r="N62" s="34"/>
      <c r="O62" s="33">
        <v>0</v>
      </c>
      <c r="P62" s="46"/>
      <c r="Q62" s="46"/>
      <c r="R62" s="47"/>
      <c r="S62" s="171">
        <f t="shared" si="0"/>
        <v>0</v>
      </c>
      <c r="T62" s="171"/>
      <c r="U62" s="171">
        <f t="shared" si="1"/>
        <v>0</v>
      </c>
    </row>
    <row r="63" spans="1:23" ht="18.75" customHeight="1" x14ac:dyDescent="0.15">
      <c r="A63" s="287"/>
      <c r="B63" s="40"/>
      <c r="C63" s="40" t="s">
        <v>149</v>
      </c>
      <c r="D63" s="42"/>
      <c r="E63" s="40"/>
      <c r="F63" s="40"/>
      <c r="G63" s="29"/>
      <c r="H63" s="30">
        <v>488000</v>
      </c>
      <c r="I63" s="31"/>
      <c r="J63" s="29"/>
      <c r="K63" s="30">
        <v>310000</v>
      </c>
      <c r="L63" s="31"/>
      <c r="M63" s="32"/>
      <c r="N63" s="34"/>
      <c r="O63" s="33">
        <v>310000</v>
      </c>
      <c r="P63" s="46"/>
      <c r="Q63" s="46"/>
      <c r="R63" s="47"/>
      <c r="S63" s="171">
        <f t="shared" si="0"/>
        <v>310000</v>
      </c>
      <c r="T63" s="171"/>
      <c r="U63" s="171">
        <f t="shared" si="1"/>
        <v>310000</v>
      </c>
    </row>
    <row r="64" spans="1:23" ht="18.75" customHeight="1" x14ac:dyDescent="0.15">
      <c r="A64" s="287"/>
      <c r="B64" s="40"/>
      <c r="C64" s="40" t="s">
        <v>150</v>
      </c>
      <c r="D64" s="42"/>
      <c r="E64" s="40"/>
      <c r="F64" s="40"/>
      <c r="G64" s="29"/>
      <c r="H64" s="30">
        <v>930000</v>
      </c>
      <c r="I64" s="31"/>
      <c r="J64" s="29"/>
      <c r="K64" s="30">
        <v>960000</v>
      </c>
      <c r="L64" s="31"/>
      <c r="M64" s="32"/>
      <c r="N64" s="34"/>
      <c r="O64" s="33">
        <v>960000</v>
      </c>
      <c r="P64" s="46"/>
      <c r="Q64" s="46"/>
      <c r="R64" s="47"/>
      <c r="S64" s="171">
        <f t="shared" si="0"/>
        <v>960000</v>
      </c>
      <c r="T64" s="171"/>
      <c r="U64" s="171">
        <f t="shared" si="1"/>
        <v>960000</v>
      </c>
    </row>
    <row r="65" spans="1:21" ht="18.75" customHeight="1" x14ac:dyDescent="0.15">
      <c r="A65" s="287"/>
      <c r="B65" s="40"/>
      <c r="C65" s="40" t="s">
        <v>151</v>
      </c>
      <c r="D65" s="42"/>
      <c r="E65" s="40"/>
      <c r="F65" s="40"/>
      <c r="G65" s="29"/>
      <c r="H65" s="30">
        <v>110000</v>
      </c>
      <c r="I65" s="31"/>
      <c r="J65" s="29"/>
      <c r="K65" s="30">
        <v>40000</v>
      </c>
      <c r="L65" s="31"/>
      <c r="M65" s="32"/>
      <c r="N65" s="34"/>
      <c r="O65" s="33">
        <v>40000</v>
      </c>
      <c r="P65" s="46"/>
      <c r="Q65" s="46"/>
      <c r="R65" s="47"/>
      <c r="S65" s="171">
        <f t="shared" si="0"/>
        <v>40000</v>
      </c>
      <c r="T65" s="171"/>
      <c r="U65" s="171">
        <f t="shared" si="1"/>
        <v>40000</v>
      </c>
    </row>
    <row r="66" spans="1:21" ht="18.75" customHeight="1" x14ac:dyDescent="0.15">
      <c r="A66" s="287"/>
      <c r="B66" s="40"/>
      <c r="C66" s="40" t="s">
        <v>152</v>
      </c>
      <c r="D66" s="42"/>
      <c r="E66" s="40"/>
      <c r="F66" s="40"/>
      <c r="G66" s="29"/>
      <c r="H66" s="30">
        <v>700000</v>
      </c>
      <c r="I66" s="31"/>
      <c r="J66" s="29"/>
      <c r="K66" s="30">
        <v>50000</v>
      </c>
      <c r="L66" s="31"/>
      <c r="M66" s="32"/>
      <c r="N66" s="34"/>
      <c r="O66" s="33">
        <v>50000</v>
      </c>
      <c r="P66" s="46"/>
      <c r="Q66" s="46"/>
      <c r="R66" s="47"/>
      <c r="S66" s="171">
        <f t="shared" si="0"/>
        <v>50000</v>
      </c>
      <c r="T66" s="171"/>
      <c r="U66" s="171">
        <f t="shared" si="1"/>
        <v>50000</v>
      </c>
    </row>
    <row r="67" spans="1:21" ht="18.75" customHeight="1" x14ac:dyDescent="0.15">
      <c r="A67" s="287"/>
      <c r="B67" s="40"/>
      <c r="C67" s="366" t="s">
        <v>221</v>
      </c>
      <c r="D67" s="367"/>
      <c r="E67" s="367"/>
      <c r="F67" s="40"/>
      <c r="G67" s="29"/>
      <c r="H67" s="30">
        <v>1000000</v>
      </c>
      <c r="I67" s="31"/>
      <c r="J67" s="29"/>
      <c r="K67" s="30">
        <v>0</v>
      </c>
      <c r="L67" s="31"/>
      <c r="M67" s="32"/>
      <c r="N67" s="34"/>
      <c r="O67" s="33">
        <v>0</v>
      </c>
      <c r="P67" s="46"/>
      <c r="Q67" s="46"/>
      <c r="R67" s="47"/>
      <c r="S67" s="171">
        <f t="shared" si="0"/>
        <v>0</v>
      </c>
      <c r="T67" s="171"/>
      <c r="U67" s="171">
        <f t="shared" si="1"/>
        <v>0</v>
      </c>
    </row>
    <row r="68" spans="1:21" ht="18.75" customHeight="1" x14ac:dyDescent="0.15">
      <c r="A68" s="287"/>
      <c r="B68" s="40"/>
      <c r="C68" s="40" t="s">
        <v>160</v>
      </c>
      <c r="D68" s="42"/>
      <c r="E68" s="40"/>
      <c r="F68" s="40"/>
      <c r="G68" s="29"/>
      <c r="H68" s="30">
        <v>301000</v>
      </c>
      <c r="I68" s="31"/>
      <c r="J68" s="29"/>
      <c r="K68" s="30">
        <v>350000</v>
      </c>
      <c r="L68" s="31"/>
      <c r="M68" s="32"/>
      <c r="N68" s="34"/>
      <c r="O68" s="286">
        <v>350000</v>
      </c>
      <c r="P68" s="46"/>
      <c r="Q68" s="46"/>
      <c r="R68" s="47"/>
      <c r="S68" s="171">
        <f t="shared" si="0"/>
        <v>350000</v>
      </c>
      <c r="T68" s="171"/>
      <c r="U68" s="171">
        <f t="shared" si="1"/>
        <v>350000</v>
      </c>
    </row>
    <row r="69" spans="1:21" ht="18.75" customHeight="1" x14ac:dyDescent="0.15">
      <c r="A69" s="287"/>
      <c r="B69" s="40"/>
      <c r="C69" s="40" t="s">
        <v>155</v>
      </c>
      <c r="D69" s="42"/>
      <c r="E69" s="40"/>
      <c r="F69" s="40"/>
      <c r="G69" s="29"/>
      <c r="H69" s="30">
        <v>2914000</v>
      </c>
      <c r="I69" s="31"/>
      <c r="J69" s="29"/>
      <c r="K69" s="30">
        <v>2700000</v>
      </c>
      <c r="L69" s="31"/>
      <c r="M69" s="32"/>
      <c r="N69" s="34"/>
      <c r="O69" s="33">
        <v>2700000</v>
      </c>
      <c r="P69" s="46"/>
      <c r="Q69" s="46"/>
      <c r="R69" s="47"/>
      <c r="S69" s="171">
        <f t="shared" si="0"/>
        <v>2700000</v>
      </c>
      <c r="T69" s="171"/>
      <c r="U69" s="171">
        <f t="shared" si="1"/>
        <v>2700000</v>
      </c>
    </row>
    <row r="70" spans="1:21" ht="18.75" customHeight="1" x14ac:dyDescent="0.15">
      <c r="A70" s="287"/>
      <c r="B70" s="40"/>
      <c r="C70" s="40" t="s">
        <v>156</v>
      </c>
      <c r="D70" s="42"/>
      <c r="E70" s="40"/>
      <c r="F70" s="40"/>
      <c r="G70" s="29"/>
      <c r="H70" s="30">
        <v>100000</v>
      </c>
      <c r="I70" s="31"/>
      <c r="J70" s="29"/>
      <c r="K70" s="30">
        <v>50000</v>
      </c>
      <c r="L70" s="31"/>
      <c r="M70" s="32"/>
      <c r="N70" s="34"/>
      <c r="O70" s="33">
        <v>50000</v>
      </c>
      <c r="P70" s="46"/>
      <c r="Q70" s="46"/>
      <c r="R70" s="47"/>
      <c r="S70" s="171">
        <f t="shared" si="0"/>
        <v>50000</v>
      </c>
      <c r="T70" s="171"/>
      <c r="U70" s="171">
        <f t="shared" si="1"/>
        <v>50000</v>
      </c>
    </row>
    <row r="71" spans="1:21" ht="18.75" customHeight="1" x14ac:dyDescent="0.15">
      <c r="A71" s="287"/>
      <c r="B71" s="40"/>
      <c r="C71" s="40" t="s">
        <v>158</v>
      </c>
      <c r="D71" s="42"/>
      <c r="E71" s="40"/>
      <c r="F71" s="40"/>
      <c r="G71" s="29"/>
      <c r="H71" s="30">
        <v>33000</v>
      </c>
      <c r="I71" s="31"/>
      <c r="J71" s="29"/>
      <c r="K71" s="30">
        <v>85000</v>
      </c>
      <c r="L71" s="31"/>
      <c r="M71" s="32"/>
      <c r="N71" s="34"/>
      <c r="O71" s="33">
        <v>85000</v>
      </c>
      <c r="P71" s="46"/>
      <c r="Q71" s="46"/>
      <c r="R71" s="47"/>
      <c r="S71" s="171">
        <f t="shared" si="0"/>
        <v>85000</v>
      </c>
      <c r="T71" s="171"/>
      <c r="U71" s="171">
        <f t="shared" si="1"/>
        <v>85000</v>
      </c>
    </row>
    <row r="72" spans="1:21" ht="18.75" customHeight="1" x14ac:dyDescent="0.15">
      <c r="A72" s="287"/>
      <c r="B72" s="40"/>
      <c r="C72" s="40" t="s">
        <v>170</v>
      </c>
      <c r="D72" s="42"/>
      <c r="E72" s="40"/>
      <c r="F72" s="40"/>
      <c r="G72" s="29"/>
      <c r="H72" s="30">
        <v>5000</v>
      </c>
      <c r="I72" s="31"/>
      <c r="J72" s="29"/>
      <c r="K72" s="30">
        <v>0</v>
      </c>
      <c r="L72" s="31"/>
      <c r="M72" s="32"/>
      <c r="N72" s="34"/>
      <c r="O72" s="33">
        <v>0</v>
      </c>
      <c r="P72" s="46"/>
      <c r="Q72" s="46"/>
      <c r="R72" s="47"/>
      <c r="S72" s="171">
        <f t="shared" si="0"/>
        <v>0</v>
      </c>
      <c r="T72" s="171"/>
      <c r="U72" s="171">
        <f t="shared" si="1"/>
        <v>0</v>
      </c>
    </row>
    <row r="73" spans="1:21" ht="18.75" customHeight="1" x14ac:dyDescent="0.15">
      <c r="A73" s="287"/>
      <c r="B73" s="40"/>
      <c r="C73" s="40" t="s">
        <v>159</v>
      </c>
      <c r="D73" s="42"/>
      <c r="E73" s="40"/>
      <c r="F73" s="40"/>
      <c r="G73" s="29"/>
      <c r="H73" s="30">
        <v>80000</v>
      </c>
      <c r="I73" s="31"/>
      <c r="J73" s="29"/>
      <c r="K73" s="30">
        <v>100000</v>
      </c>
      <c r="L73" s="31"/>
      <c r="M73" s="32"/>
      <c r="N73" s="34"/>
      <c r="O73" s="33">
        <v>100000</v>
      </c>
      <c r="P73" s="46"/>
      <c r="Q73" s="46"/>
      <c r="R73" s="47"/>
      <c r="S73" s="171">
        <f t="shared" si="0"/>
        <v>100000</v>
      </c>
      <c r="T73" s="171"/>
      <c r="U73" s="171">
        <f t="shared" si="1"/>
        <v>100000</v>
      </c>
    </row>
    <row r="74" spans="1:21" ht="18.75" customHeight="1" x14ac:dyDescent="0.15">
      <c r="A74" s="275"/>
      <c r="B74" s="366" t="s">
        <v>44</v>
      </c>
      <c r="C74" s="367"/>
      <c r="D74" s="367"/>
      <c r="E74" s="367"/>
      <c r="F74" s="368"/>
      <c r="G74" s="29" t="s">
        <v>162</v>
      </c>
      <c r="H74" s="30">
        <f>SUM(H75)</f>
        <v>80000</v>
      </c>
      <c r="I74" s="31" t="s">
        <v>20</v>
      </c>
      <c r="J74" s="29" t="s">
        <v>162</v>
      </c>
      <c r="K74" s="30">
        <f>SUM(K75)</f>
        <v>0</v>
      </c>
      <c r="L74" s="31" t="s">
        <v>163</v>
      </c>
      <c r="M74" s="32"/>
      <c r="N74" s="34"/>
      <c r="O74" s="33"/>
      <c r="P74" s="46"/>
      <c r="Q74" s="46"/>
      <c r="R74" s="47"/>
      <c r="S74" s="171">
        <f t="shared" si="0"/>
        <v>0</v>
      </c>
      <c r="T74" s="171"/>
      <c r="U74" s="171">
        <f t="shared" si="1"/>
        <v>0</v>
      </c>
    </row>
    <row r="75" spans="1:21" ht="18.75" customHeight="1" x14ac:dyDescent="0.15">
      <c r="A75" s="275"/>
      <c r="B75" s="40"/>
      <c r="C75" s="40" t="s">
        <v>149</v>
      </c>
      <c r="D75" s="220"/>
      <c r="E75" s="220"/>
      <c r="F75" s="221"/>
      <c r="G75" s="29"/>
      <c r="H75" s="30">
        <v>80000</v>
      </c>
      <c r="I75" s="31"/>
      <c r="J75" s="29"/>
      <c r="K75" s="30">
        <v>0</v>
      </c>
      <c r="L75" s="31"/>
      <c r="M75" s="32"/>
      <c r="N75" s="34"/>
      <c r="O75" s="33"/>
      <c r="P75" s="46"/>
      <c r="Q75" s="46"/>
      <c r="R75" s="47"/>
      <c r="S75" s="171">
        <f t="shared" ref="S75:S139" si="6">M75+N75+O75</f>
        <v>0</v>
      </c>
      <c r="T75" s="171"/>
      <c r="U75" s="171">
        <f t="shared" si="1"/>
        <v>0</v>
      </c>
    </row>
    <row r="76" spans="1:21" ht="18.75" customHeight="1" x14ac:dyDescent="0.15">
      <c r="A76" s="275"/>
      <c r="B76" s="366" t="s">
        <v>45</v>
      </c>
      <c r="C76" s="367"/>
      <c r="D76" s="367"/>
      <c r="E76" s="367"/>
      <c r="F76" s="368"/>
      <c r="G76" s="29" t="s">
        <v>162</v>
      </c>
      <c r="H76" s="30">
        <f>SUM(H77:H86)</f>
        <v>17551100</v>
      </c>
      <c r="I76" s="31" t="s">
        <v>20</v>
      </c>
      <c r="J76" s="29" t="s">
        <v>162</v>
      </c>
      <c r="K76" s="30">
        <f>SUM(K77:K86)</f>
        <v>18858647</v>
      </c>
      <c r="L76" s="31" t="s">
        <v>163</v>
      </c>
      <c r="M76" s="32"/>
      <c r="N76" s="34"/>
      <c r="O76" s="33"/>
      <c r="P76" s="46"/>
      <c r="Q76" s="46"/>
      <c r="R76" s="47"/>
      <c r="S76" s="171">
        <f t="shared" si="6"/>
        <v>0</v>
      </c>
      <c r="T76" s="171"/>
      <c r="U76" s="171">
        <f t="shared" si="1"/>
        <v>0</v>
      </c>
    </row>
    <row r="77" spans="1:21" ht="18.75" customHeight="1" x14ac:dyDescent="0.15">
      <c r="A77" s="275"/>
      <c r="B77" s="40"/>
      <c r="C77" s="256" t="s">
        <v>161</v>
      </c>
      <c r="D77" s="222"/>
      <c r="E77" s="222"/>
      <c r="F77" s="220"/>
      <c r="G77" s="29"/>
      <c r="H77" s="30">
        <v>13485600</v>
      </c>
      <c r="I77" s="31"/>
      <c r="J77" s="29"/>
      <c r="K77" s="30">
        <v>14056830</v>
      </c>
      <c r="L77" s="31"/>
      <c r="M77" s="32"/>
      <c r="N77" s="34"/>
      <c r="O77" s="33"/>
      <c r="P77" s="46"/>
      <c r="Q77" s="46">
        <v>14056830</v>
      </c>
      <c r="R77" s="47"/>
      <c r="S77" s="171">
        <f t="shared" si="6"/>
        <v>0</v>
      </c>
      <c r="T77" s="171"/>
      <c r="U77" s="306">
        <f t="shared" si="1"/>
        <v>14056830</v>
      </c>
    </row>
    <row r="78" spans="1:21" ht="18.75" customHeight="1" x14ac:dyDescent="0.15">
      <c r="A78" s="275"/>
      <c r="B78" s="40"/>
      <c r="C78" s="40" t="s">
        <v>147</v>
      </c>
      <c r="D78" s="42"/>
      <c r="E78" s="40"/>
      <c r="F78" s="40"/>
      <c r="G78" s="29"/>
      <c r="H78" s="30">
        <v>1056000</v>
      </c>
      <c r="I78" s="31"/>
      <c r="J78" s="29"/>
      <c r="K78" s="30">
        <v>270000</v>
      </c>
      <c r="L78" s="31"/>
      <c r="M78" s="32"/>
      <c r="N78" s="34"/>
      <c r="O78" s="33"/>
      <c r="P78" s="46"/>
      <c r="Q78" s="46">
        <v>270000</v>
      </c>
      <c r="R78" s="47"/>
      <c r="S78" s="171">
        <f t="shared" si="6"/>
        <v>0</v>
      </c>
      <c r="T78" s="171"/>
      <c r="U78" s="306">
        <f t="shared" si="1"/>
        <v>270000</v>
      </c>
    </row>
    <row r="79" spans="1:21" ht="18.75" customHeight="1" x14ac:dyDescent="0.15">
      <c r="A79" s="275"/>
      <c r="B79" s="40"/>
      <c r="C79" s="40" t="s">
        <v>148</v>
      </c>
      <c r="D79" s="42"/>
      <c r="E79" s="40"/>
      <c r="F79" s="40"/>
      <c r="G79" s="29"/>
      <c r="H79" s="30">
        <v>34000</v>
      </c>
      <c r="I79" s="31"/>
      <c r="J79" s="29"/>
      <c r="K79" s="30">
        <v>208000</v>
      </c>
      <c r="L79" s="31"/>
      <c r="M79" s="32"/>
      <c r="N79" s="34"/>
      <c r="O79" s="33"/>
      <c r="P79" s="46"/>
      <c r="Q79" s="46">
        <v>208000</v>
      </c>
      <c r="R79" s="47"/>
      <c r="S79" s="171">
        <f t="shared" si="6"/>
        <v>0</v>
      </c>
      <c r="T79" s="171"/>
      <c r="U79" s="171">
        <f t="shared" si="1"/>
        <v>208000</v>
      </c>
    </row>
    <row r="80" spans="1:21" ht="18.75" customHeight="1" x14ac:dyDescent="0.15">
      <c r="A80" s="275"/>
      <c r="B80" s="40"/>
      <c r="C80" s="40" t="s">
        <v>149</v>
      </c>
      <c r="D80" s="42"/>
      <c r="E80" s="40"/>
      <c r="F80" s="40"/>
      <c r="G80" s="29"/>
      <c r="H80" s="30">
        <v>1178500</v>
      </c>
      <c r="I80" s="31"/>
      <c r="J80" s="29"/>
      <c r="K80" s="30">
        <v>2000717</v>
      </c>
      <c r="L80" s="31"/>
      <c r="M80" s="32"/>
      <c r="N80" s="34"/>
      <c r="O80" s="33"/>
      <c r="P80" s="46"/>
      <c r="Q80" s="46">
        <v>2000717</v>
      </c>
      <c r="R80" s="47"/>
      <c r="S80" s="171">
        <f t="shared" si="6"/>
        <v>0</v>
      </c>
      <c r="T80" s="171"/>
      <c r="U80" s="171">
        <f t="shared" ref="U80:U89" si="7">SUM(Q80:T80)</f>
        <v>2000717</v>
      </c>
    </row>
    <row r="81" spans="1:23" ht="18.75" customHeight="1" x14ac:dyDescent="0.15">
      <c r="A81" s="275"/>
      <c r="B81" s="40"/>
      <c r="C81" s="40" t="s">
        <v>150</v>
      </c>
      <c r="D81" s="42"/>
      <c r="E81" s="40"/>
      <c r="F81" s="40"/>
      <c r="G81" s="29"/>
      <c r="H81" s="30">
        <v>255000</v>
      </c>
      <c r="I81" s="31"/>
      <c r="J81" s="29"/>
      <c r="K81" s="30">
        <v>202000</v>
      </c>
      <c r="L81" s="31"/>
      <c r="M81" s="32"/>
      <c r="N81" s="34"/>
      <c r="O81" s="33"/>
      <c r="P81" s="46"/>
      <c r="Q81" s="46">
        <v>202000</v>
      </c>
      <c r="R81" s="47"/>
      <c r="S81" s="171">
        <f t="shared" si="6"/>
        <v>0</v>
      </c>
      <c r="T81" s="171"/>
      <c r="U81" s="171">
        <f t="shared" si="7"/>
        <v>202000</v>
      </c>
    </row>
    <row r="82" spans="1:23" ht="18.75" customHeight="1" x14ac:dyDescent="0.15">
      <c r="A82" s="275"/>
      <c r="B82" s="40"/>
      <c r="C82" s="40" t="s">
        <v>151</v>
      </c>
      <c r="D82" s="42"/>
      <c r="E82" s="40"/>
      <c r="F82" s="40"/>
      <c r="G82" s="29"/>
      <c r="H82" s="30">
        <v>980000</v>
      </c>
      <c r="I82" s="31"/>
      <c r="J82" s="29"/>
      <c r="K82" s="30">
        <v>1130000</v>
      </c>
      <c r="L82" s="31"/>
      <c r="M82" s="32"/>
      <c r="N82" s="34"/>
      <c r="O82" s="33"/>
      <c r="P82" s="46"/>
      <c r="Q82" s="46">
        <v>1130000</v>
      </c>
      <c r="R82" s="47"/>
      <c r="S82" s="171">
        <f t="shared" si="6"/>
        <v>0</v>
      </c>
      <c r="T82" s="171"/>
      <c r="U82" s="171">
        <f t="shared" si="7"/>
        <v>1130000</v>
      </c>
    </row>
    <row r="83" spans="1:23" ht="18.75" customHeight="1" x14ac:dyDescent="0.15">
      <c r="A83" s="275"/>
      <c r="B83" s="40"/>
      <c r="C83" s="366" t="s">
        <v>152</v>
      </c>
      <c r="D83" s="367"/>
      <c r="E83" s="367"/>
      <c r="F83" s="40"/>
      <c r="G83" s="29"/>
      <c r="H83" s="30">
        <v>100000</v>
      </c>
      <c r="I83" s="31"/>
      <c r="J83" s="29"/>
      <c r="K83" s="30">
        <v>200000</v>
      </c>
      <c r="L83" s="31"/>
      <c r="M83" s="32"/>
      <c r="N83" s="34"/>
      <c r="O83" s="33"/>
      <c r="P83" s="46"/>
      <c r="Q83" s="46">
        <v>200000</v>
      </c>
      <c r="R83" s="47"/>
      <c r="S83" s="171"/>
      <c r="T83" s="171"/>
      <c r="U83" s="171">
        <f t="shared" si="7"/>
        <v>200000</v>
      </c>
    </row>
    <row r="84" spans="1:23" ht="18.75" customHeight="1" x14ac:dyDescent="0.15">
      <c r="A84" s="275"/>
      <c r="B84" s="40"/>
      <c r="C84" s="40" t="s">
        <v>153</v>
      </c>
      <c r="D84" s="42"/>
      <c r="E84" s="40"/>
      <c r="F84" s="40"/>
      <c r="G84" s="29"/>
      <c r="H84" s="30">
        <v>332000</v>
      </c>
      <c r="I84" s="31"/>
      <c r="J84" s="29"/>
      <c r="K84" s="30">
        <v>320000</v>
      </c>
      <c r="L84" s="31"/>
      <c r="M84" s="32"/>
      <c r="N84" s="34"/>
      <c r="O84" s="33"/>
      <c r="P84" s="46"/>
      <c r="Q84" s="46">
        <v>320000</v>
      </c>
      <c r="R84" s="47"/>
      <c r="S84" s="171">
        <f t="shared" si="6"/>
        <v>0</v>
      </c>
      <c r="T84" s="171"/>
      <c r="U84" s="171">
        <f t="shared" si="7"/>
        <v>320000</v>
      </c>
    </row>
    <row r="85" spans="1:23" ht="18.75" customHeight="1" x14ac:dyDescent="0.15">
      <c r="A85" s="275"/>
      <c r="B85" s="40"/>
      <c r="C85" s="40" t="s">
        <v>155</v>
      </c>
      <c r="D85" s="42"/>
      <c r="E85" s="40"/>
      <c r="F85" s="40"/>
      <c r="G85" s="29"/>
      <c r="H85" s="30">
        <v>70000</v>
      </c>
      <c r="I85" s="31"/>
      <c r="J85" s="29"/>
      <c r="K85" s="30">
        <v>330000</v>
      </c>
      <c r="L85" s="31"/>
      <c r="M85" s="32"/>
      <c r="N85" s="34"/>
      <c r="O85" s="33"/>
      <c r="P85" s="46"/>
      <c r="Q85" s="46">
        <v>330000</v>
      </c>
      <c r="R85" s="47"/>
      <c r="S85" s="171">
        <f t="shared" si="6"/>
        <v>0</v>
      </c>
      <c r="T85" s="171"/>
      <c r="U85" s="171">
        <f t="shared" si="7"/>
        <v>330000</v>
      </c>
    </row>
    <row r="86" spans="1:23" ht="18.75" customHeight="1" x14ac:dyDescent="0.15">
      <c r="A86" s="275"/>
      <c r="B86" s="40"/>
      <c r="C86" s="40" t="s">
        <v>158</v>
      </c>
      <c r="D86" s="42"/>
      <c r="E86" s="40"/>
      <c r="F86" s="40"/>
      <c r="G86" s="29"/>
      <c r="H86" s="30">
        <v>60000</v>
      </c>
      <c r="I86" s="31"/>
      <c r="J86" s="29"/>
      <c r="K86" s="30">
        <v>141100</v>
      </c>
      <c r="L86" s="31"/>
      <c r="M86" s="32"/>
      <c r="N86" s="34"/>
      <c r="O86" s="33"/>
      <c r="P86" s="46"/>
      <c r="Q86" s="46">
        <v>141100</v>
      </c>
      <c r="R86" s="47"/>
      <c r="S86" s="171">
        <f t="shared" si="6"/>
        <v>0</v>
      </c>
      <c r="T86" s="171"/>
      <c r="U86" s="171">
        <f t="shared" si="7"/>
        <v>141100</v>
      </c>
      <c r="W86" s="171">
        <f>SUM(U77:U86)</f>
        <v>18858647</v>
      </c>
    </row>
    <row r="87" spans="1:23" ht="18.75" customHeight="1" x14ac:dyDescent="0.15">
      <c r="A87" s="58"/>
      <c r="B87" s="40" t="s">
        <v>46</v>
      </c>
      <c r="C87" s="40"/>
      <c r="D87" s="42"/>
      <c r="E87" s="40"/>
      <c r="F87" s="40"/>
      <c r="G87" s="29" t="s">
        <v>21</v>
      </c>
      <c r="H87" s="30">
        <f>SUM(H88:H111)</f>
        <v>28005315</v>
      </c>
      <c r="I87" s="31" t="s">
        <v>22</v>
      </c>
      <c r="J87" s="29" t="s">
        <v>21</v>
      </c>
      <c r="K87" s="30">
        <f>SUM(K88:K111)</f>
        <v>27003155</v>
      </c>
      <c r="L87" s="31" t="s">
        <v>22</v>
      </c>
      <c r="M87" s="32"/>
      <c r="N87" s="34"/>
      <c r="O87" s="33"/>
      <c r="P87" s="46"/>
      <c r="Q87" s="46"/>
      <c r="R87" s="47"/>
      <c r="S87" s="171">
        <f t="shared" si="6"/>
        <v>0</v>
      </c>
      <c r="T87" s="171"/>
      <c r="U87" s="171">
        <f t="shared" si="7"/>
        <v>0</v>
      </c>
    </row>
    <row r="88" spans="1:23" ht="18.75" customHeight="1" x14ac:dyDescent="0.15">
      <c r="A88" s="288"/>
      <c r="B88" s="40"/>
      <c r="C88" s="40" t="s">
        <v>47</v>
      </c>
      <c r="D88" s="42"/>
      <c r="E88" s="40"/>
      <c r="F88" s="40"/>
      <c r="G88" s="29"/>
      <c r="H88" s="30">
        <v>13600000</v>
      </c>
      <c r="I88" s="31"/>
      <c r="J88" s="29"/>
      <c r="K88" s="30">
        <f>SUM(M88:R88)</f>
        <v>13600000</v>
      </c>
      <c r="L88" s="31"/>
      <c r="M88" s="32">
        <v>8160000</v>
      </c>
      <c r="N88" s="34">
        <v>1440000</v>
      </c>
      <c r="O88" s="33">
        <v>1280000</v>
      </c>
      <c r="P88" s="46">
        <v>480000</v>
      </c>
      <c r="Q88" s="46">
        <v>2240000</v>
      </c>
      <c r="R88" s="47"/>
      <c r="S88" s="171">
        <f t="shared" si="6"/>
        <v>10880000</v>
      </c>
      <c r="T88" s="171"/>
      <c r="U88" s="171">
        <f>SUM(P88:S88)</f>
        <v>13600000</v>
      </c>
    </row>
    <row r="89" spans="1:23" ht="18.75" customHeight="1" x14ac:dyDescent="0.15">
      <c r="A89" s="58"/>
      <c r="B89" s="40"/>
      <c r="C89" s="40" t="s">
        <v>164</v>
      </c>
      <c r="D89" s="42"/>
      <c r="E89" s="40"/>
      <c r="F89" s="40"/>
      <c r="G89" s="29"/>
      <c r="H89" s="30">
        <v>0</v>
      </c>
      <c r="I89" s="31"/>
      <c r="J89" s="29"/>
      <c r="K89" s="30">
        <f t="shared" ref="K89:K111" si="8">SUM(M89:R89)</f>
        <v>0</v>
      </c>
      <c r="L89" s="31"/>
      <c r="M89" s="32"/>
      <c r="N89" s="34"/>
      <c r="O89" s="33"/>
      <c r="P89" s="46"/>
      <c r="Q89" s="46"/>
      <c r="R89" s="47"/>
      <c r="S89" s="171">
        <f t="shared" si="6"/>
        <v>0</v>
      </c>
      <c r="T89" s="171"/>
      <c r="U89" s="171">
        <f t="shared" si="7"/>
        <v>0</v>
      </c>
    </row>
    <row r="90" spans="1:23" ht="18.75" customHeight="1" x14ac:dyDescent="0.15">
      <c r="A90" s="58"/>
      <c r="B90" s="40"/>
      <c r="C90" s="40" t="s">
        <v>48</v>
      </c>
      <c r="D90" s="42"/>
      <c r="E90" s="40"/>
      <c r="F90" s="40"/>
      <c r="G90" s="29"/>
      <c r="H90" s="223">
        <v>859987</v>
      </c>
      <c r="I90" s="31"/>
      <c r="J90" s="29"/>
      <c r="K90" s="30">
        <v>202513</v>
      </c>
      <c r="L90" s="31"/>
      <c r="M90" s="32">
        <v>121508</v>
      </c>
      <c r="N90" s="34">
        <v>21443</v>
      </c>
      <c r="O90" s="33">
        <v>19060</v>
      </c>
      <c r="P90" s="46">
        <v>7148</v>
      </c>
      <c r="Q90" s="46">
        <v>33355</v>
      </c>
      <c r="R90" s="47"/>
      <c r="S90" s="171">
        <f t="shared" si="6"/>
        <v>162011</v>
      </c>
      <c r="T90" s="171"/>
      <c r="U90" s="171">
        <f t="shared" ref="U90:U143" si="9">SUM(P90:S90)</f>
        <v>202514</v>
      </c>
    </row>
    <row r="91" spans="1:23" ht="18.75" customHeight="1" x14ac:dyDescent="0.15">
      <c r="A91" s="275"/>
      <c r="B91" s="40"/>
      <c r="C91" s="40" t="s">
        <v>49</v>
      </c>
      <c r="D91" s="42"/>
      <c r="E91" s="40"/>
      <c r="F91" s="40"/>
      <c r="G91" s="29"/>
      <c r="H91" s="30">
        <v>1700000</v>
      </c>
      <c r="I91" s="31"/>
      <c r="J91" s="29"/>
      <c r="K91" s="30">
        <v>1870000</v>
      </c>
      <c r="L91" s="31"/>
      <c r="M91" s="32">
        <v>1122000</v>
      </c>
      <c r="N91" s="34">
        <v>198000</v>
      </c>
      <c r="O91" s="33">
        <v>176000</v>
      </c>
      <c r="P91" s="46">
        <v>66000</v>
      </c>
      <c r="Q91" s="46">
        <v>308000</v>
      </c>
      <c r="R91" s="47"/>
      <c r="S91" s="171">
        <f t="shared" si="6"/>
        <v>1496000</v>
      </c>
      <c r="T91" s="171"/>
      <c r="U91" s="171">
        <f t="shared" si="9"/>
        <v>1870000</v>
      </c>
    </row>
    <row r="92" spans="1:23" ht="18.75" customHeight="1" x14ac:dyDescent="0.15">
      <c r="A92" s="275"/>
      <c r="B92" s="40"/>
      <c r="C92" s="40" t="s">
        <v>50</v>
      </c>
      <c r="D92" s="42"/>
      <c r="E92" s="40"/>
      <c r="F92" s="40"/>
      <c r="G92" s="29"/>
      <c r="H92" s="30">
        <v>442850</v>
      </c>
      <c r="I92" s="31"/>
      <c r="J92" s="29"/>
      <c r="K92" s="30">
        <v>425850</v>
      </c>
      <c r="L92" s="31"/>
      <c r="M92" s="32">
        <v>255510</v>
      </c>
      <c r="N92" s="34">
        <v>45090</v>
      </c>
      <c r="O92" s="33">
        <v>40080</v>
      </c>
      <c r="P92" s="46">
        <v>15030</v>
      </c>
      <c r="Q92" s="46">
        <v>70140</v>
      </c>
      <c r="R92" s="47"/>
      <c r="S92" s="171">
        <f t="shared" si="6"/>
        <v>340680</v>
      </c>
      <c r="T92" s="171"/>
      <c r="U92" s="171">
        <f t="shared" si="9"/>
        <v>425850</v>
      </c>
    </row>
    <row r="93" spans="1:23" ht="18.75" customHeight="1" x14ac:dyDescent="0.15">
      <c r="A93" s="275"/>
      <c r="B93" s="40"/>
      <c r="C93" s="40" t="s">
        <v>51</v>
      </c>
      <c r="D93" s="42"/>
      <c r="E93" s="40"/>
      <c r="F93" s="40"/>
      <c r="G93" s="29"/>
      <c r="H93" s="30">
        <v>1421200</v>
      </c>
      <c r="I93" s="31"/>
      <c r="J93" s="29"/>
      <c r="K93" s="30">
        <v>1265792</v>
      </c>
      <c r="L93" s="31"/>
      <c r="M93" s="32">
        <v>759475</v>
      </c>
      <c r="N93" s="34">
        <v>134025</v>
      </c>
      <c r="O93" s="33">
        <v>119133</v>
      </c>
      <c r="P93" s="46">
        <v>44675</v>
      </c>
      <c r="Q93" s="46">
        <v>208483</v>
      </c>
      <c r="R93" s="47"/>
      <c r="S93" s="171">
        <f t="shared" si="6"/>
        <v>1012633</v>
      </c>
      <c r="T93" s="171"/>
      <c r="U93" s="171">
        <f t="shared" si="9"/>
        <v>1265791</v>
      </c>
    </row>
    <row r="94" spans="1:23" ht="18.75" customHeight="1" x14ac:dyDescent="0.15">
      <c r="A94" s="275"/>
      <c r="B94" s="40"/>
      <c r="C94" s="40" t="s">
        <v>52</v>
      </c>
      <c r="D94" s="42"/>
      <c r="E94" s="40"/>
      <c r="F94" s="40"/>
      <c r="G94" s="29"/>
      <c r="H94" s="30">
        <v>216308</v>
      </c>
      <c r="I94" s="31"/>
      <c r="J94" s="29"/>
      <c r="K94" s="30">
        <v>56100</v>
      </c>
      <c r="L94" s="31"/>
      <c r="M94" s="32">
        <v>33660</v>
      </c>
      <c r="N94" s="34">
        <v>5940</v>
      </c>
      <c r="O94" s="33">
        <v>5280</v>
      </c>
      <c r="P94" s="46">
        <v>1980</v>
      </c>
      <c r="Q94" s="46">
        <v>9240</v>
      </c>
      <c r="R94" s="47"/>
      <c r="S94" s="171">
        <f t="shared" si="6"/>
        <v>44880</v>
      </c>
      <c r="T94" s="171"/>
      <c r="U94" s="171">
        <f t="shared" si="9"/>
        <v>56100</v>
      </c>
    </row>
    <row r="95" spans="1:23" ht="18.75" customHeight="1" x14ac:dyDescent="0.15">
      <c r="A95" s="275"/>
      <c r="B95" s="40"/>
      <c r="C95" s="40" t="s">
        <v>53</v>
      </c>
      <c r="D95" s="42"/>
      <c r="E95" s="40"/>
      <c r="F95" s="40"/>
      <c r="G95" s="29"/>
      <c r="H95" s="30">
        <v>85000</v>
      </c>
      <c r="I95" s="31"/>
      <c r="J95" s="29"/>
      <c r="K95" s="30">
        <v>85000</v>
      </c>
      <c r="L95" s="31"/>
      <c r="M95" s="32">
        <v>51000</v>
      </c>
      <c r="N95" s="34">
        <v>9000</v>
      </c>
      <c r="O95" s="33">
        <v>8000</v>
      </c>
      <c r="P95" s="46">
        <v>3000</v>
      </c>
      <c r="Q95" s="46">
        <v>14000</v>
      </c>
      <c r="R95" s="47"/>
      <c r="S95" s="171">
        <f t="shared" si="6"/>
        <v>68000</v>
      </c>
      <c r="T95" s="171"/>
      <c r="U95" s="171">
        <f t="shared" si="9"/>
        <v>85000</v>
      </c>
    </row>
    <row r="96" spans="1:23" ht="18.75" customHeight="1" x14ac:dyDescent="0.15">
      <c r="A96" s="275"/>
      <c r="B96" s="40"/>
      <c r="C96" s="40" t="s">
        <v>54</v>
      </c>
      <c r="D96" s="42"/>
      <c r="E96" s="40"/>
      <c r="F96" s="40"/>
      <c r="G96" s="29"/>
      <c r="H96" s="30">
        <v>612000</v>
      </c>
      <c r="I96" s="31"/>
      <c r="J96" s="29"/>
      <c r="K96" s="30">
        <v>624750</v>
      </c>
      <c r="L96" s="31"/>
      <c r="M96" s="32">
        <v>374850</v>
      </c>
      <c r="N96" s="34">
        <v>66150</v>
      </c>
      <c r="O96" s="33">
        <v>58800</v>
      </c>
      <c r="P96" s="46">
        <v>22050</v>
      </c>
      <c r="Q96" s="46">
        <v>102900</v>
      </c>
      <c r="R96" s="47"/>
      <c r="S96" s="171">
        <f t="shared" si="6"/>
        <v>499800</v>
      </c>
      <c r="T96" s="171"/>
      <c r="U96" s="171">
        <f t="shared" si="9"/>
        <v>624750</v>
      </c>
    </row>
    <row r="97" spans="1:21" ht="18.75" customHeight="1" x14ac:dyDescent="0.15">
      <c r="A97" s="275"/>
      <c r="B97" s="40"/>
      <c r="C97" s="40" t="s">
        <v>55</v>
      </c>
      <c r="D97" s="42"/>
      <c r="E97" s="40"/>
      <c r="F97" s="40"/>
      <c r="G97" s="29"/>
      <c r="H97" s="30">
        <v>85000</v>
      </c>
      <c r="I97" s="31"/>
      <c r="J97" s="29"/>
      <c r="K97" s="30">
        <f t="shared" si="8"/>
        <v>85000</v>
      </c>
      <c r="L97" s="31"/>
      <c r="M97" s="32">
        <v>51000</v>
      </c>
      <c r="N97" s="34">
        <v>9000</v>
      </c>
      <c r="O97" s="33">
        <v>8000</v>
      </c>
      <c r="P97" s="46">
        <v>3000</v>
      </c>
      <c r="Q97" s="46">
        <v>14000</v>
      </c>
      <c r="R97" s="47"/>
      <c r="S97" s="171">
        <f t="shared" si="6"/>
        <v>68000</v>
      </c>
      <c r="T97" s="171"/>
      <c r="U97" s="171">
        <f t="shared" si="9"/>
        <v>85000</v>
      </c>
    </row>
    <row r="98" spans="1:21" ht="18.75" customHeight="1" x14ac:dyDescent="0.15">
      <c r="A98" s="275"/>
      <c r="B98" s="40"/>
      <c r="C98" s="40" t="s">
        <v>56</v>
      </c>
      <c r="D98" s="42"/>
      <c r="E98" s="40"/>
      <c r="F98" s="40"/>
      <c r="G98" s="29"/>
      <c r="H98" s="30">
        <v>566100</v>
      </c>
      <c r="I98" s="31"/>
      <c r="J98" s="29"/>
      <c r="K98" s="30">
        <f t="shared" si="8"/>
        <v>566100</v>
      </c>
      <c r="L98" s="31"/>
      <c r="M98" s="32">
        <v>339660</v>
      </c>
      <c r="N98" s="34">
        <v>59940</v>
      </c>
      <c r="O98" s="33">
        <v>53280</v>
      </c>
      <c r="P98" s="46">
        <v>19980</v>
      </c>
      <c r="Q98" s="46">
        <v>93240</v>
      </c>
      <c r="R98" s="47"/>
      <c r="S98" s="171">
        <f t="shared" si="6"/>
        <v>452880</v>
      </c>
      <c r="T98" s="171"/>
      <c r="U98" s="171">
        <f t="shared" si="9"/>
        <v>566100</v>
      </c>
    </row>
    <row r="99" spans="1:21" ht="18.75" customHeight="1" x14ac:dyDescent="0.15">
      <c r="A99" s="58"/>
      <c r="B99" s="40"/>
      <c r="C99" s="40" t="s">
        <v>57</v>
      </c>
      <c r="D99" s="42"/>
      <c r="E99" s="40"/>
      <c r="F99" s="40"/>
      <c r="G99" s="29"/>
      <c r="H99" s="30">
        <v>0</v>
      </c>
      <c r="I99" s="31"/>
      <c r="J99" s="29"/>
      <c r="K99" s="30">
        <f t="shared" si="8"/>
        <v>0</v>
      </c>
      <c r="L99" s="31"/>
      <c r="M99" s="32"/>
      <c r="N99" s="34"/>
      <c r="O99" s="33"/>
      <c r="P99" s="46"/>
      <c r="Q99" s="46"/>
      <c r="R99" s="47"/>
      <c r="S99" s="171">
        <f t="shared" si="6"/>
        <v>0</v>
      </c>
      <c r="T99" s="171"/>
      <c r="U99" s="171">
        <f t="shared" si="9"/>
        <v>0</v>
      </c>
    </row>
    <row r="100" spans="1:21" ht="18.75" customHeight="1" x14ac:dyDescent="0.15">
      <c r="A100" s="275"/>
      <c r="B100" s="40"/>
      <c r="C100" s="40" t="s">
        <v>58</v>
      </c>
      <c r="D100" s="42"/>
      <c r="E100" s="40"/>
      <c r="F100" s="40"/>
      <c r="G100" s="29"/>
      <c r="H100" s="30">
        <v>340000</v>
      </c>
      <c r="I100" s="31"/>
      <c r="J100" s="29"/>
      <c r="K100" s="30">
        <f t="shared" si="8"/>
        <v>340000</v>
      </c>
      <c r="L100" s="31"/>
      <c r="M100" s="32">
        <v>204000</v>
      </c>
      <c r="N100" s="34">
        <v>36000</v>
      </c>
      <c r="O100" s="33">
        <v>32000</v>
      </c>
      <c r="P100" s="46">
        <v>12000</v>
      </c>
      <c r="Q100" s="46">
        <v>56000</v>
      </c>
      <c r="R100" s="47"/>
      <c r="S100" s="171">
        <f t="shared" si="6"/>
        <v>272000</v>
      </c>
      <c r="T100" s="171"/>
      <c r="U100" s="171">
        <f t="shared" si="9"/>
        <v>340000</v>
      </c>
    </row>
    <row r="101" spans="1:21" ht="18.75" customHeight="1" x14ac:dyDescent="0.15">
      <c r="A101" s="275"/>
      <c r="B101" s="40"/>
      <c r="C101" s="40" t="s">
        <v>59</v>
      </c>
      <c r="D101" s="42"/>
      <c r="E101" s="40"/>
      <c r="F101" s="40"/>
      <c r="G101" s="29"/>
      <c r="H101" s="30">
        <v>4675000</v>
      </c>
      <c r="I101" s="31"/>
      <c r="J101" s="29"/>
      <c r="K101" s="30">
        <f t="shared" si="8"/>
        <v>4675000</v>
      </c>
      <c r="L101" s="31"/>
      <c r="M101" s="32">
        <v>2805000</v>
      </c>
      <c r="N101" s="34">
        <v>495000</v>
      </c>
      <c r="O101" s="33">
        <v>440000</v>
      </c>
      <c r="P101" s="46">
        <v>165000</v>
      </c>
      <c r="Q101" s="46">
        <v>770000</v>
      </c>
      <c r="R101" s="47"/>
      <c r="S101" s="171">
        <f t="shared" si="6"/>
        <v>3740000</v>
      </c>
      <c r="T101" s="171"/>
      <c r="U101" s="171">
        <f t="shared" si="9"/>
        <v>4675000</v>
      </c>
    </row>
    <row r="102" spans="1:21" ht="18.75" customHeight="1" x14ac:dyDescent="0.15">
      <c r="A102" s="275"/>
      <c r="B102" s="40"/>
      <c r="C102" s="40" t="s">
        <v>60</v>
      </c>
      <c r="D102" s="42"/>
      <c r="E102" s="40"/>
      <c r="F102" s="40"/>
      <c r="G102" s="29"/>
      <c r="H102" s="30">
        <v>170000</v>
      </c>
      <c r="I102" s="31"/>
      <c r="J102" s="29"/>
      <c r="K102" s="30">
        <f t="shared" si="8"/>
        <v>170000</v>
      </c>
      <c r="L102" s="31"/>
      <c r="M102" s="32">
        <v>102000</v>
      </c>
      <c r="N102" s="34">
        <v>18000</v>
      </c>
      <c r="O102" s="33">
        <v>16000</v>
      </c>
      <c r="P102" s="46">
        <v>6000</v>
      </c>
      <c r="Q102" s="46">
        <v>28000</v>
      </c>
      <c r="R102" s="47"/>
      <c r="S102" s="171">
        <f t="shared" si="6"/>
        <v>136000</v>
      </c>
      <c r="T102" s="171"/>
      <c r="U102" s="171">
        <f t="shared" si="9"/>
        <v>170000</v>
      </c>
    </row>
    <row r="103" spans="1:21" ht="18.75" customHeight="1" x14ac:dyDescent="0.15">
      <c r="A103" s="275"/>
      <c r="B103" s="40"/>
      <c r="C103" s="40" t="s">
        <v>61</v>
      </c>
      <c r="D103" s="42"/>
      <c r="E103" s="40"/>
      <c r="F103" s="40"/>
      <c r="G103" s="29"/>
      <c r="H103" s="30">
        <v>136000</v>
      </c>
      <c r="I103" s="31"/>
      <c r="J103" s="29"/>
      <c r="K103" s="30">
        <v>8500</v>
      </c>
      <c r="L103" s="31"/>
      <c r="M103" s="32">
        <v>5100</v>
      </c>
      <c r="N103" s="34">
        <v>900</v>
      </c>
      <c r="O103" s="33">
        <v>800</v>
      </c>
      <c r="P103" s="46">
        <v>300</v>
      </c>
      <c r="Q103" s="46">
        <v>1400</v>
      </c>
      <c r="R103" s="47"/>
      <c r="S103" s="171">
        <f t="shared" si="6"/>
        <v>6800</v>
      </c>
      <c r="T103" s="171"/>
      <c r="U103" s="171">
        <f t="shared" si="9"/>
        <v>8500</v>
      </c>
    </row>
    <row r="104" spans="1:21" ht="18.75" customHeight="1" x14ac:dyDescent="0.15">
      <c r="A104" s="275"/>
      <c r="B104" s="40"/>
      <c r="C104" s="40" t="s">
        <v>62</v>
      </c>
      <c r="D104" s="42"/>
      <c r="E104" s="40"/>
      <c r="F104" s="40"/>
      <c r="G104" s="29"/>
      <c r="H104" s="30">
        <v>875500</v>
      </c>
      <c r="I104" s="31"/>
      <c r="J104" s="29"/>
      <c r="K104" s="30">
        <v>875500</v>
      </c>
      <c r="L104" s="31"/>
      <c r="M104" s="32">
        <v>525300</v>
      </c>
      <c r="N104" s="34">
        <v>92700</v>
      </c>
      <c r="O104" s="33">
        <v>82400</v>
      </c>
      <c r="P104" s="46">
        <v>30900</v>
      </c>
      <c r="Q104" s="46">
        <v>144200</v>
      </c>
      <c r="R104" s="47"/>
      <c r="S104" s="171">
        <f t="shared" si="6"/>
        <v>700400</v>
      </c>
      <c r="T104" s="171"/>
      <c r="U104" s="171">
        <f t="shared" si="9"/>
        <v>875500</v>
      </c>
    </row>
    <row r="105" spans="1:21" ht="18.75" customHeight="1" x14ac:dyDescent="0.15">
      <c r="A105" s="275"/>
      <c r="B105" s="40"/>
      <c r="C105" s="40" t="s">
        <v>63</v>
      </c>
      <c r="D105" s="42"/>
      <c r="E105" s="40"/>
      <c r="F105" s="40"/>
      <c r="G105" s="29"/>
      <c r="H105" s="30">
        <v>765000</v>
      </c>
      <c r="I105" s="31"/>
      <c r="J105" s="29"/>
      <c r="K105" s="30">
        <v>850000</v>
      </c>
      <c r="L105" s="31"/>
      <c r="M105" s="32">
        <v>510000</v>
      </c>
      <c r="N105" s="34">
        <v>90000</v>
      </c>
      <c r="O105" s="33">
        <v>80000</v>
      </c>
      <c r="P105" s="46">
        <v>30000</v>
      </c>
      <c r="Q105" s="46">
        <v>140000</v>
      </c>
      <c r="R105" s="47"/>
      <c r="S105" s="171">
        <f t="shared" si="6"/>
        <v>680000</v>
      </c>
      <c r="T105" s="171"/>
      <c r="U105" s="171">
        <f t="shared" si="9"/>
        <v>850000</v>
      </c>
    </row>
    <row r="106" spans="1:21" ht="18.75" customHeight="1" x14ac:dyDescent="0.15">
      <c r="A106" s="275"/>
      <c r="B106" s="40"/>
      <c r="C106" s="40" t="s">
        <v>64</v>
      </c>
      <c r="D106" s="42"/>
      <c r="E106" s="40"/>
      <c r="F106" s="40"/>
      <c r="G106" s="29"/>
      <c r="H106" s="30">
        <v>42500</v>
      </c>
      <c r="I106" s="31"/>
      <c r="J106" s="29"/>
      <c r="K106" s="30">
        <f t="shared" si="8"/>
        <v>42500</v>
      </c>
      <c r="L106" s="31"/>
      <c r="M106" s="32">
        <v>25500</v>
      </c>
      <c r="N106" s="34">
        <v>4500</v>
      </c>
      <c r="O106" s="33">
        <v>4000</v>
      </c>
      <c r="P106" s="46">
        <v>1500</v>
      </c>
      <c r="Q106" s="46">
        <v>7000</v>
      </c>
      <c r="R106" s="47"/>
      <c r="S106" s="171">
        <f t="shared" si="6"/>
        <v>34000</v>
      </c>
      <c r="T106" s="171"/>
      <c r="U106" s="171">
        <f t="shared" si="9"/>
        <v>42500</v>
      </c>
    </row>
    <row r="107" spans="1:21" ht="18.75" customHeight="1" x14ac:dyDescent="0.15">
      <c r="A107" s="275"/>
      <c r="B107" s="40"/>
      <c r="C107" s="40" t="s">
        <v>65</v>
      </c>
      <c r="D107" s="42"/>
      <c r="E107" s="40"/>
      <c r="F107" s="40"/>
      <c r="G107" s="29"/>
      <c r="H107" s="30">
        <v>510000</v>
      </c>
      <c r="I107" s="31"/>
      <c r="J107" s="29"/>
      <c r="K107" s="30">
        <v>255000</v>
      </c>
      <c r="L107" s="31"/>
      <c r="M107" s="32">
        <v>153000</v>
      </c>
      <c r="N107" s="34">
        <v>27000</v>
      </c>
      <c r="O107" s="33">
        <v>24000</v>
      </c>
      <c r="P107" s="46">
        <v>9000</v>
      </c>
      <c r="Q107" s="46">
        <v>42000</v>
      </c>
      <c r="R107" s="47"/>
      <c r="S107" s="171">
        <f t="shared" si="6"/>
        <v>204000</v>
      </c>
      <c r="T107" s="171"/>
      <c r="U107" s="171">
        <f t="shared" si="9"/>
        <v>255000</v>
      </c>
    </row>
    <row r="108" spans="1:21" ht="18.75" customHeight="1" x14ac:dyDescent="0.15">
      <c r="A108" s="275"/>
      <c r="B108" s="40"/>
      <c r="C108" s="40" t="s">
        <v>66</v>
      </c>
      <c r="D108" s="42"/>
      <c r="E108" s="40"/>
      <c r="F108" s="40"/>
      <c r="G108" s="29"/>
      <c r="H108" s="30">
        <v>442000</v>
      </c>
      <c r="I108" s="31"/>
      <c r="J108" s="29"/>
      <c r="K108" s="30">
        <f t="shared" si="8"/>
        <v>442000</v>
      </c>
      <c r="L108" s="31"/>
      <c r="M108" s="32">
        <v>265200</v>
      </c>
      <c r="N108" s="34">
        <v>46800</v>
      </c>
      <c r="O108" s="33">
        <v>41600</v>
      </c>
      <c r="P108" s="46">
        <v>15600</v>
      </c>
      <c r="Q108" s="46">
        <v>72800</v>
      </c>
      <c r="R108" s="47"/>
      <c r="S108" s="171">
        <f t="shared" si="6"/>
        <v>353600</v>
      </c>
      <c r="T108" s="171"/>
      <c r="U108" s="171">
        <f t="shared" si="9"/>
        <v>442000</v>
      </c>
    </row>
    <row r="109" spans="1:21" ht="18.75" customHeight="1" x14ac:dyDescent="0.15">
      <c r="A109" s="58"/>
      <c r="B109" s="40"/>
      <c r="C109" s="56" t="s">
        <v>100</v>
      </c>
      <c r="D109" s="57"/>
      <c r="E109" s="40"/>
      <c r="F109" s="40"/>
      <c r="G109" s="29"/>
      <c r="H109" s="30">
        <v>255000</v>
      </c>
      <c r="I109" s="31"/>
      <c r="J109" s="29"/>
      <c r="K109" s="30">
        <f t="shared" si="8"/>
        <v>255000</v>
      </c>
      <c r="L109" s="31"/>
      <c r="M109" s="32">
        <v>153000</v>
      </c>
      <c r="N109" s="34">
        <v>27000</v>
      </c>
      <c r="O109" s="33">
        <v>24000</v>
      </c>
      <c r="P109" s="46">
        <v>9000</v>
      </c>
      <c r="Q109" s="46">
        <v>42000</v>
      </c>
      <c r="R109" s="47"/>
      <c r="S109" s="171">
        <f t="shared" si="6"/>
        <v>204000</v>
      </c>
      <c r="T109" s="171"/>
      <c r="U109" s="171">
        <f t="shared" si="9"/>
        <v>255000</v>
      </c>
    </row>
    <row r="110" spans="1:21" ht="18.75" customHeight="1" x14ac:dyDescent="0.15">
      <c r="A110" s="58"/>
      <c r="B110" s="40"/>
      <c r="C110" s="56" t="s">
        <v>67</v>
      </c>
      <c r="D110" s="57"/>
      <c r="E110" s="40"/>
      <c r="F110" s="40"/>
      <c r="G110" s="29"/>
      <c r="H110" s="30">
        <v>205870</v>
      </c>
      <c r="I110" s="31"/>
      <c r="J110" s="29"/>
      <c r="K110" s="30">
        <v>308550</v>
      </c>
      <c r="L110" s="31"/>
      <c r="M110" s="32">
        <v>185130</v>
      </c>
      <c r="N110" s="34">
        <v>32670</v>
      </c>
      <c r="O110" s="33">
        <v>29040</v>
      </c>
      <c r="P110" s="46">
        <v>10890</v>
      </c>
      <c r="Q110" s="46">
        <v>50820</v>
      </c>
      <c r="R110" s="47"/>
      <c r="S110" s="171">
        <f>SUM(M110:O110)</f>
        <v>246840</v>
      </c>
      <c r="T110" s="171"/>
      <c r="U110" s="171">
        <f t="shared" si="9"/>
        <v>308550</v>
      </c>
    </row>
    <row r="111" spans="1:21" ht="18.75" customHeight="1" x14ac:dyDescent="0.15">
      <c r="A111" s="58"/>
      <c r="B111" s="40"/>
      <c r="C111" s="56" t="s">
        <v>101</v>
      </c>
      <c r="D111" s="57"/>
      <c r="E111" s="40"/>
      <c r="F111" s="40"/>
      <c r="G111" s="29"/>
      <c r="H111" s="30">
        <v>0</v>
      </c>
      <c r="I111" s="31"/>
      <c r="J111" s="29"/>
      <c r="K111" s="30">
        <f t="shared" si="8"/>
        <v>0</v>
      </c>
      <c r="L111" s="31"/>
      <c r="M111" s="32">
        <v>0</v>
      </c>
      <c r="N111" s="34">
        <v>0</v>
      </c>
      <c r="O111" s="33">
        <v>0</v>
      </c>
      <c r="P111" s="46">
        <v>0</v>
      </c>
      <c r="Q111" s="46">
        <v>0</v>
      </c>
      <c r="R111" s="47"/>
      <c r="S111" s="171">
        <f t="shared" si="6"/>
        <v>0</v>
      </c>
      <c r="T111" s="171"/>
      <c r="U111" s="171">
        <f t="shared" si="9"/>
        <v>0</v>
      </c>
    </row>
    <row r="112" spans="1:21" ht="18.75" customHeight="1" x14ac:dyDescent="0.15">
      <c r="A112" s="58"/>
      <c r="B112" s="40" t="s">
        <v>68</v>
      </c>
      <c r="C112" s="40"/>
      <c r="D112" s="42"/>
      <c r="E112" s="40"/>
      <c r="F112" s="40"/>
      <c r="G112" s="29" t="s">
        <v>21</v>
      </c>
      <c r="H112" s="30">
        <f>SUM(H113:H140)</f>
        <v>9177115</v>
      </c>
      <c r="I112" s="31" t="s">
        <v>22</v>
      </c>
      <c r="J112" s="29" t="s">
        <v>21</v>
      </c>
      <c r="K112" s="30">
        <f>SUM(K113:K140)</f>
        <v>9941932</v>
      </c>
      <c r="L112" s="31" t="s">
        <v>22</v>
      </c>
      <c r="M112" s="32"/>
      <c r="N112" s="34"/>
      <c r="O112" s="33"/>
      <c r="P112" s="46"/>
      <c r="Q112" s="46"/>
      <c r="R112" s="47"/>
      <c r="S112" s="171">
        <f t="shared" si="6"/>
        <v>0</v>
      </c>
      <c r="T112" s="171"/>
      <c r="U112" s="171">
        <f t="shared" si="9"/>
        <v>0</v>
      </c>
    </row>
    <row r="113" spans="1:21" ht="17.25" customHeight="1" x14ac:dyDescent="0.15">
      <c r="A113" s="289"/>
      <c r="B113" s="40"/>
      <c r="C113" s="40" t="s">
        <v>47</v>
      </c>
      <c r="D113" s="42"/>
      <c r="E113" s="40"/>
      <c r="F113" s="40"/>
      <c r="G113" s="29"/>
      <c r="H113" s="30">
        <v>2400000</v>
      </c>
      <c r="I113" s="31"/>
      <c r="J113" s="29"/>
      <c r="K113" s="30">
        <f>R113</f>
        <v>2400000</v>
      </c>
      <c r="L113" s="31"/>
      <c r="M113" s="32"/>
      <c r="N113" s="34"/>
      <c r="O113" s="33"/>
      <c r="P113" s="46"/>
      <c r="Q113" s="46"/>
      <c r="R113" s="47">
        <v>2400000</v>
      </c>
      <c r="S113" s="171">
        <f t="shared" si="6"/>
        <v>0</v>
      </c>
      <c r="T113" s="171"/>
      <c r="U113" s="171">
        <f t="shared" si="9"/>
        <v>2400000</v>
      </c>
    </row>
    <row r="114" spans="1:21" ht="17.25" customHeight="1" x14ac:dyDescent="0.15">
      <c r="A114" s="289"/>
      <c r="B114" s="40"/>
      <c r="C114" s="40" t="s">
        <v>164</v>
      </c>
      <c r="D114" s="42"/>
      <c r="E114" s="40"/>
      <c r="F114" s="40"/>
      <c r="G114" s="29"/>
      <c r="H114" s="30">
        <v>0</v>
      </c>
      <c r="I114" s="31"/>
      <c r="J114" s="29"/>
      <c r="K114" s="30">
        <f t="shared" ref="K114:K140" si="10">R114</f>
        <v>0</v>
      </c>
      <c r="L114" s="31"/>
      <c r="M114" s="32"/>
      <c r="N114" s="34"/>
      <c r="O114" s="33"/>
      <c r="P114" s="46"/>
      <c r="Q114" s="46"/>
      <c r="R114" s="47">
        <v>0</v>
      </c>
      <c r="S114" s="171">
        <f t="shared" si="6"/>
        <v>0</v>
      </c>
      <c r="T114" s="171"/>
      <c r="U114" s="171">
        <f t="shared" si="9"/>
        <v>0</v>
      </c>
    </row>
    <row r="115" spans="1:21" ht="17.25" customHeight="1" x14ac:dyDescent="0.15">
      <c r="A115" s="58"/>
      <c r="B115" s="40"/>
      <c r="C115" s="40" t="s">
        <v>48</v>
      </c>
      <c r="D115" s="42"/>
      <c r="E115" s="40"/>
      <c r="F115" s="40"/>
      <c r="G115" s="29"/>
      <c r="H115" s="30">
        <v>151763</v>
      </c>
      <c r="I115" s="31"/>
      <c r="J115" s="29"/>
      <c r="K115" s="30">
        <v>35737</v>
      </c>
      <c r="L115" s="31"/>
      <c r="M115" s="32"/>
      <c r="N115" s="34"/>
      <c r="O115" s="33"/>
      <c r="P115" s="46"/>
      <c r="Q115" s="46"/>
      <c r="R115" s="226">
        <v>35737</v>
      </c>
      <c r="S115" s="171">
        <f t="shared" si="6"/>
        <v>0</v>
      </c>
      <c r="T115" s="171"/>
      <c r="U115" s="171">
        <f t="shared" si="9"/>
        <v>35737</v>
      </c>
    </row>
    <row r="116" spans="1:21" ht="17.25" customHeight="1" x14ac:dyDescent="0.15">
      <c r="A116" s="289"/>
      <c r="B116" s="40"/>
      <c r="C116" s="40" t="s">
        <v>49</v>
      </c>
      <c r="D116" s="42"/>
      <c r="E116" s="40"/>
      <c r="F116" s="40"/>
      <c r="G116" s="29"/>
      <c r="H116" s="30">
        <v>300000</v>
      </c>
      <c r="I116" s="31"/>
      <c r="J116" s="29"/>
      <c r="K116" s="30">
        <v>330000</v>
      </c>
      <c r="L116" s="31"/>
      <c r="M116" s="32"/>
      <c r="N116" s="34"/>
      <c r="O116" s="33"/>
      <c r="P116" s="46"/>
      <c r="Q116" s="46"/>
      <c r="R116" s="47">
        <v>330000</v>
      </c>
      <c r="S116" s="171">
        <f t="shared" si="6"/>
        <v>0</v>
      </c>
      <c r="T116" s="171"/>
      <c r="U116" s="171">
        <f t="shared" si="9"/>
        <v>330000</v>
      </c>
    </row>
    <row r="117" spans="1:21" ht="17.25" customHeight="1" x14ac:dyDescent="0.15">
      <c r="A117" s="289"/>
      <c r="B117" s="40"/>
      <c r="C117" s="40" t="s">
        <v>69</v>
      </c>
      <c r="D117" s="42"/>
      <c r="E117" s="40"/>
      <c r="F117" s="40"/>
      <c r="G117" s="29"/>
      <c r="H117" s="30">
        <v>2475000</v>
      </c>
      <c r="I117" s="31"/>
      <c r="J117" s="29"/>
      <c r="K117" s="30">
        <v>3856670</v>
      </c>
      <c r="L117" s="31"/>
      <c r="M117" s="32"/>
      <c r="N117" s="34"/>
      <c r="O117" s="33"/>
      <c r="P117" s="46"/>
      <c r="Q117" s="46"/>
      <c r="R117" s="47">
        <v>3856670</v>
      </c>
      <c r="S117" s="171">
        <f t="shared" si="6"/>
        <v>0</v>
      </c>
      <c r="T117" s="171"/>
      <c r="U117" s="171">
        <f t="shared" si="9"/>
        <v>3856670</v>
      </c>
    </row>
    <row r="118" spans="1:21" ht="17.25" customHeight="1" x14ac:dyDescent="0.15">
      <c r="A118" s="289"/>
      <c r="B118" s="40"/>
      <c r="C118" s="40" t="s">
        <v>50</v>
      </c>
      <c r="D118" s="42"/>
      <c r="E118" s="40"/>
      <c r="F118" s="40"/>
      <c r="G118" s="29"/>
      <c r="H118" s="30">
        <v>78150</v>
      </c>
      <c r="I118" s="31"/>
      <c r="J118" s="29"/>
      <c r="K118" s="30">
        <v>75150</v>
      </c>
      <c r="L118" s="31"/>
      <c r="M118" s="32"/>
      <c r="N118" s="34"/>
      <c r="O118" s="33"/>
      <c r="P118" s="46"/>
      <c r="Q118" s="46"/>
      <c r="R118" s="47">
        <v>75150</v>
      </c>
      <c r="S118" s="171">
        <f t="shared" si="6"/>
        <v>0</v>
      </c>
      <c r="T118" s="171"/>
      <c r="U118" s="171">
        <f t="shared" si="9"/>
        <v>75150</v>
      </c>
    </row>
    <row r="119" spans="1:21" ht="17.25" customHeight="1" x14ac:dyDescent="0.15">
      <c r="A119" s="289"/>
      <c r="B119" s="40"/>
      <c r="C119" s="40" t="s">
        <v>51</v>
      </c>
      <c r="D119" s="42"/>
      <c r="E119" s="40"/>
      <c r="F119" s="40"/>
      <c r="G119" s="29"/>
      <c r="H119" s="30">
        <v>250800</v>
      </c>
      <c r="I119" s="31"/>
      <c r="J119" s="29"/>
      <c r="K119" s="30">
        <v>223375</v>
      </c>
      <c r="L119" s="31"/>
      <c r="M119" s="32"/>
      <c r="N119" s="34"/>
      <c r="O119" s="33"/>
      <c r="P119" s="46"/>
      <c r="Q119" s="46"/>
      <c r="R119" s="47">
        <v>223375</v>
      </c>
      <c r="S119" s="171">
        <f t="shared" si="6"/>
        <v>0</v>
      </c>
      <c r="T119" s="171"/>
      <c r="U119" s="171">
        <f t="shared" si="9"/>
        <v>223375</v>
      </c>
    </row>
    <row r="120" spans="1:21" ht="17.25" customHeight="1" x14ac:dyDescent="0.15">
      <c r="A120" s="289"/>
      <c r="B120" s="40"/>
      <c r="C120" s="40" t="s">
        <v>52</v>
      </c>
      <c r="D120" s="42"/>
      <c r="E120" s="40"/>
      <c r="F120" s="40"/>
      <c r="G120" s="29"/>
      <c r="H120" s="30">
        <v>38172</v>
      </c>
      <c r="I120" s="31"/>
      <c r="J120" s="29"/>
      <c r="K120" s="30">
        <v>9900</v>
      </c>
      <c r="L120" s="31"/>
      <c r="M120" s="32"/>
      <c r="N120" s="34"/>
      <c r="O120" s="33"/>
      <c r="P120" s="46"/>
      <c r="Q120" s="46"/>
      <c r="R120" s="47">
        <v>9900</v>
      </c>
      <c r="S120" s="171">
        <f t="shared" si="6"/>
        <v>0</v>
      </c>
      <c r="T120" s="171"/>
      <c r="U120" s="171">
        <f t="shared" si="9"/>
        <v>9900</v>
      </c>
    </row>
    <row r="121" spans="1:21" ht="17.25" customHeight="1" x14ac:dyDescent="0.15">
      <c r="A121" s="289"/>
      <c r="B121" s="40"/>
      <c r="C121" s="40" t="s">
        <v>53</v>
      </c>
      <c r="D121" s="42"/>
      <c r="E121" s="40"/>
      <c r="F121" s="40"/>
      <c r="G121" s="29"/>
      <c r="H121" s="30">
        <v>15000</v>
      </c>
      <c r="I121" s="31"/>
      <c r="J121" s="29"/>
      <c r="K121" s="30">
        <f t="shared" si="10"/>
        <v>15000</v>
      </c>
      <c r="L121" s="31"/>
      <c r="M121" s="32"/>
      <c r="N121" s="34"/>
      <c r="O121" s="33"/>
      <c r="P121" s="46"/>
      <c r="Q121" s="46"/>
      <c r="R121" s="47">
        <v>15000</v>
      </c>
      <c r="S121" s="171">
        <f t="shared" si="6"/>
        <v>0</v>
      </c>
      <c r="T121" s="171"/>
      <c r="U121" s="171">
        <f t="shared" si="9"/>
        <v>15000</v>
      </c>
    </row>
    <row r="122" spans="1:21" ht="17.25" customHeight="1" x14ac:dyDescent="0.15">
      <c r="A122" s="289"/>
      <c r="B122" s="40"/>
      <c r="C122" s="40" t="s">
        <v>54</v>
      </c>
      <c r="D122" s="42"/>
      <c r="E122" s="40"/>
      <c r="F122" s="40"/>
      <c r="G122" s="29"/>
      <c r="H122" s="30">
        <v>108000</v>
      </c>
      <c r="I122" s="31"/>
      <c r="J122" s="29"/>
      <c r="K122" s="30">
        <v>110250</v>
      </c>
      <c r="L122" s="31"/>
      <c r="M122" s="32"/>
      <c r="N122" s="34"/>
      <c r="O122" s="33"/>
      <c r="P122" s="46"/>
      <c r="Q122" s="46"/>
      <c r="R122" s="47">
        <v>110250</v>
      </c>
      <c r="S122" s="171">
        <f t="shared" si="6"/>
        <v>0</v>
      </c>
      <c r="T122" s="171"/>
      <c r="U122" s="171">
        <f t="shared" si="9"/>
        <v>110250</v>
      </c>
    </row>
    <row r="123" spans="1:21" ht="17.25" customHeight="1" x14ac:dyDescent="0.15">
      <c r="A123" s="289"/>
      <c r="B123" s="40"/>
      <c r="C123" s="40" t="s">
        <v>55</v>
      </c>
      <c r="D123" s="42"/>
      <c r="E123" s="40"/>
      <c r="F123" s="40"/>
      <c r="G123" s="29"/>
      <c r="H123" s="30">
        <v>15000</v>
      </c>
      <c r="I123" s="31"/>
      <c r="J123" s="29"/>
      <c r="K123" s="30">
        <f t="shared" si="10"/>
        <v>15000</v>
      </c>
      <c r="L123" s="31"/>
      <c r="M123" s="32"/>
      <c r="N123" s="34"/>
      <c r="O123" s="33"/>
      <c r="P123" s="46"/>
      <c r="Q123" s="46"/>
      <c r="R123" s="47">
        <v>15000</v>
      </c>
      <c r="S123" s="171">
        <f t="shared" si="6"/>
        <v>0</v>
      </c>
      <c r="T123" s="171"/>
      <c r="U123" s="171">
        <f t="shared" si="9"/>
        <v>15000</v>
      </c>
    </row>
    <row r="124" spans="1:21" ht="17.25" customHeight="1" x14ac:dyDescent="0.15">
      <c r="A124" s="289"/>
      <c r="B124" s="40"/>
      <c r="C124" s="40" t="s">
        <v>56</v>
      </c>
      <c r="D124" s="42"/>
      <c r="E124" s="40"/>
      <c r="F124" s="40"/>
      <c r="G124" s="29"/>
      <c r="H124" s="30">
        <v>99900</v>
      </c>
      <c r="I124" s="31"/>
      <c r="J124" s="29"/>
      <c r="K124" s="30">
        <f t="shared" si="10"/>
        <v>99900</v>
      </c>
      <c r="L124" s="31"/>
      <c r="M124" s="32"/>
      <c r="N124" s="34"/>
      <c r="O124" s="33"/>
      <c r="P124" s="46"/>
      <c r="Q124" s="46"/>
      <c r="R124" s="47">
        <v>99900</v>
      </c>
      <c r="S124" s="171">
        <f t="shared" si="6"/>
        <v>0</v>
      </c>
      <c r="T124" s="171"/>
      <c r="U124" s="171">
        <f t="shared" si="9"/>
        <v>99900</v>
      </c>
    </row>
    <row r="125" spans="1:21" ht="17.25" customHeight="1" x14ac:dyDescent="0.15">
      <c r="A125" s="289"/>
      <c r="B125" s="40"/>
      <c r="C125" s="40" t="s">
        <v>57</v>
      </c>
      <c r="D125" s="42"/>
      <c r="E125" s="40"/>
      <c r="F125" s="40"/>
      <c r="G125" s="29"/>
      <c r="H125" s="30">
        <v>0</v>
      </c>
      <c r="I125" s="31"/>
      <c r="J125" s="29"/>
      <c r="K125" s="30">
        <f t="shared" si="10"/>
        <v>0</v>
      </c>
      <c r="L125" s="31"/>
      <c r="M125" s="32"/>
      <c r="N125" s="34"/>
      <c r="O125" s="33"/>
      <c r="P125" s="46"/>
      <c r="Q125" s="46"/>
      <c r="R125" s="47">
        <v>0</v>
      </c>
      <c r="S125" s="171">
        <f t="shared" si="6"/>
        <v>0</v>
      </c>
      <c r="T125" s="171"/>
      <c r="U125" s="171">
        <f t="shared" si="9"/>
        <v>0</v>
      </c>
    </row>
    <row r="126" spans="1:21" ht="17.25" customHeight="1" x14ac:dyDescent="0.15">
      <c r="A126" s="289"/>
      <c r="B126" s="40"/>
      <c r="C126" s="40" t="s">
        <v>58</v>
      </c>
      <c r="D126" s="42"/>
      <c r="E126" s="40"/>
      <c r="F126" s="40"/>
      <c r="G126" s="29"/>
      <c r="H126" s="30">
        <v>60000</v>
      </c>
      <c r="I126" s="31"/>
      <c r="J126" s="29"/>
      <c r="K126" s="30">
        <f t="shared" si="10"/>
        <v>60000</v>
      </c>
      <c r="L126" s="31"/>
      <c r="M126" s="32"/>
      <c r="N126" s="34"/>
      <c r="O126" s="33"/>
      <c r="P126" s="46"/>
      <c r="Q126" s="46"/>
      <c r="R126" s="47">
        <v>60000</v>
      </c>
      <c r="S126" s="171">
        <f t="shared" si="6"/>
        <v>0</v>
      </c>
      <c r="T126" s="171"/>
      <c r="U126" s="171">
        <f t="shared" si="9"/>
        <v>60000</v>
      </c>
    </row>
    <row r="127" spans="1:21" ht="17.25" customHeight="1" x14ac:dyDescent="0.15">
      <c r="A127" s="289"/>
      <c r="B127" s="40"/>
      <c r="C127" s="40" t="s">
        <v>59</v>
      </c>
      <c r="D127" s="42"/>
      <c r="E127" s="40"/>
      <c r="F127" s="40"/>
      <c r="G127" s="29"/>
      <c r="H127" s="30">
        <v>825000</v>
      </c>
      <c r="I127" s="31"/>
      <c r="J127" s="29"/>
      <c r="K127" s="30">
        <f t="shared" si="10"/>
        <v>825000</v>
      </c>
      <c r="L127" s="31"/>
      <c r="M127" s="32"/>
      <c r="N127" s="34"/>
      <c r="O127" s="33"/>
      <c r="P127" s="46"/>
      <c r="Q127" s="46"/>
      <c r="R127" s="47">
        <v>825000</v>
      </c>
      <c r="S127" s="171">
        <f t="shared" si="6"/>
        <v>0</v>
      </c>
      <c r="T127" s="171"/>
      <c r="U127" s="171">
        <f t="shared" si="9"/>
        <v>825000</v>
      </c>
    </row>
    <row r="128" spans="1:21" ht="17.25" customHeight="1" x14ac:dyDescent="0.15">
      <c r="A128" s="289"/>
      <c r="B128" s="40"/>
      <c r="C128" s="40" t="s">
        <v>60</v>
      </c>
      <c r="D128" s="42"/>
      <c r="E128" s="40"/>
      <c r="F128" s="40"/>
      <c r="G128" s="29"/>
      <c r="H128" s="30">
        <v>30000</v>
      </c>
      <c r="I128" s="31"/>
      <c r="J128" s="29"/>
      <c r="K128" s="30">
        <f t="shared" si="10"/>
        <v>30000</v>
      </c>
      <c r="L128" s="31"/>
      <c r="M128" s="32"/>
      <c r="N128" s="34"/>
      <c r="O128" s="33"/>
      <c r="P128" s="46"/>
      <c r="Q128" s="46"/>
      <c r="R128" s="47">
        <v>30000</v>
      </c>
      <c r="S128" s="171">
        <f t="shared" si="6"/>
        <v>0</v>
      </c>
      <c r="T128" s="171"/>
      <c r="U128" s="171">
        <f t="shared" si="9"/>
        <v>30000</v>
      </c>
    </row>
    <row r="129" spans="1:21" ht="17.25" customHeight="1" x14ac:dyDescent="0.15">
      <c r="A129" s="289"/>
      <c r="B129" s="40"/>
      <c r="C129" s="40" t="s">
        <v>61</v>
      </c>
      <c r="D129" s="42"/>
      <c r="E129" s="40"/>
      <c r="F129" s="40"/>
      <c r="G129" s="29"/>
      <c r="H129" s="30">
        <v>24000</v>
      </c>
      <c r="I129" s="31"/>
      <c r="J129" s="29"/>
      <c r="K129" s="30">
        <v>1500</v>
      </c>
      <c r="L129" s="31"/>
      <c r="M129" s="32"/>
      <c r="N129" s="34"/>
      <c r="O129" s="33"/>
      <c r="P129" s="46"/>
      <c r="Q129" s="46"/>
      <c r="R129" s="47">
        <v>1500</v>
      </c>
      <c r="S129" s="171">
        <f t="shared" si="6"/>
        <v>0</v>
      </c>
      <c r="T129" s="171"/>
      <c r="U129" s="171">
        <f t="shared" si="9"/>
        <v>1500</v>
      </c>
    </row>
    <row r="130" spans="1:21" ht="17.25" customHeight="1" x14ac:dyDescent="0.15">
      <c r="A130" s="289"/>
      <c r="B130" s="40"/>
      <c r="C130" s="40" t="s">
        <v>62</v>
      </c>
      <c r="D130" s="42"/>
      <c r="E130" s="40"/>
      <c r="F130" s="40"/>
      <c r="G130" s="29"/>
      <c r="H130" s="30">
        <v>154500</v>
      </c>
      <c r="I130" s="31"/>
      <c r="J130" s="29"/>
      <c r="K130" s="30">
        <f t="shared" si="10"/>
        <v>154500</v>
      </c>
      <c r="L130" s="31"/>
      <c r="M130" s="32"/>
      <c r="N130" s="34"/>
      <c r="O130" s="33"/>
      <c r="P130" s="46"/>
      <c r="Q130" s="46"/>
      <c r="R130" s="47">
        <v>154500</v>
      </c>
      <c r="S130" s="171">
        <f t="shared" si="6"/>
        <v>0</v>
      </c>
      <c r="T130" s="171"/>
      <c r="U130" s="171">
        <f t="shared" si="9"/>
        <v>154500</v>
      </c>
    </row>
    <row r="131" spans="1:21" ht="17.25" customHeight="1" x14ac:dyDescent="0.15">
      <c r="A131" s="289"/>
      <c r="B131" s="40"/>
      <c r="C131" s="40" t="s">
        <v>70</v>
      </c>
      <c r="D131" s="42"/>
      <c r="E131" s="40"/>
      <c r="F131" s="40"/>
      <c r="G131" s="29"/>
      <c r="H131" s="30">
        <v>580000</v>
      </c>
      <c r="I131" s="31"/>
      <c r="J131" s="29"/>
      <c r="K131" s="30">
        <v>540000</v>
      </c>
      <c r="L131" s="31"/>
      <c r="M131" s="32"/>
      <c r="N131" s="34"/>
      <c r="O131" s="33"/>
      <c r="P131" s="46"/>
      <c r="Q131" s="46"/>
      <c r="R131" s="47">
        <v>540000</v>
      </c>
      <c r="S131" s="171">
        <f t="shared" si="6"/>
        <v>0</v>
      </c>
      <c r="T131" s="171"/>
      <c r="U131" s="171">
        <f t="shared" si="9"/>
        <v>540000</v>
      </c>
    </row>
    <row r="132" spans="1:21" ht="17.25" customHeight="1" x14ac:dyDescent="0.15">
      <c r="A132" s="289"/>
      <c r="B132" s="40"/>
      <c r="C132" s="40" t="s">
        <v>71</v>
      </c>
      <c r="D132" s="42"/>
      <c r="E132" s="40"/>
      <c r="F132" s="40"/>
      <c r="G132" s="29"/>
      <c r="H132" s="30">
        <v>600000</v>
      </c>
      <c r="I132" s="31"/>
      <c r="J132" s="29"/>
      <c r="K132" s="30">
        <v>200000</v>
      </c>
      <c r="L132" s="31"/>
      <c r="M132" s="32"/>
      <c r="N132" s="34"/>
      <c r="O132" s="33"/>
      <c r="P132" s="46"/>
      <c r="Q132" s="46"/>
      <c r="R132" s="47">
        <v>200000</v>
      </c>
      <c r="S132" s="171">
        <f t="shared" si="6"/>
        <v>0</v>
      </c>
      <c r="T132" s="171"/>
      <c r="U132" s="171">
        <f t="shared" si="9"/>
        <v>200000</v>
      </c>
    </row>
    <row r="133" spans="1:21" ht="17.25" customHeight="1" x14ac:dyDescent="0.15">
      <c r="A133" s="289"/>
      <c r="B133" s="40"/>
      <c r="C133" s="40" t="s">
        <v>63</v>
      </c>
      <c r="D133" s="42"/>
      <c r="E133" s="40"/>
      <c r="F133" s="40"/>
      <c r="G133" s="29"/>
      <c r="H133" s="30">
        <v>135000</v>
      </c>
      <c r="I133" s="31"/>
      <c r="J133" s="29"/>
      <c r="K133" s="30">
        <v>150000</v>
      </c>
      <c r="L133" s="31"/>
      <c r="M133" s="32"/>
      <c r="N133" s="34"/>
      <c r="O133" s="33"/>
      <c r="P133" s="46"/>
      <c r="Q133" s="46"/>
      <c r="R133" s="47">
        <v>150000</v>
      </c>
      <c r="S133" s="171">
        <f t="shared" si="6"/>
        <v>0</v>
      </c>
      <c r="T133" s="171"/>
      <c r="U133" s="171">
        <f t="shared" si="9"/>
        <v>150000</v>
      </c>
    </row>
    <row r="134" spans="1:21" ht="17.25" customHeight="1" x14ac:dyDescent="0.15">
      <c r="A134" s="289"/>
      <c r="B134" s="40"/>
      <c r="C134" s="40" t="s">
        <v>72</v>
      </c>
      <c r="D134" s="42"/>
      <c r="E134" s="40"/>
      <c r="F134" s="40"/>
      <c r="G134" s="29"/>
      <c r="H134" s="30">
        <v>580000</v>
      </c>
      <c r="I134" s="31"/>
      <c r="J134" s="29"/>
      <c r="K134" s="30">
        <f t="shared" si="10"/>
        <v>580000</v>
      </c>
      <c r="L134" s="31"/>
      <c r="M134" s="32"/>
      <c r="N134" s="34"/>
      <c r="O134" s="33"/>
      <c r="P134" s="46"/>
      <c r="Q134" s="46"/>
      <c r="R134" s="47">
        <v>580000</v>
      </c>
      <c r="S134" s="171">
        <f t="shared" si="6"/>
        <v>0</v>
      </c>
      <c r="T134" s="171"/>
      <c r="U134" s="171">
        <f t="shared" si="9"/>
        <v>580000</v>
      </c>
    </row>
    <row r="135" spans="1:21" ht="17.25" customHeight="1" x14ac:dyDescent="0.15">
      <c r="A135" s="289"/>
      <c r="B135" s="40"/>
      <c r="C135" s="40" t="s">
        <v>64</v>
      </c>
      <c r="D135" s="42"/>
      <c r="E135" s="40"/>
      <c r="F135" s="40"/>
      <c r="G135" s="29"/>
      <c r="H135" s="30">
        <v>7500</v>
      </c>
      <c r="I135" s="31"/>
      <c r="J135" s="29"/>
      <c r="K135" s="30">
        <f t="shared" si="10"/>
        <v>7500</v>
      </c>
      <c r="L135" s="31"/>
      <c r="M135" s="32"/>
      <c r="N135" s="34"/>
      <c r="O135" s="33"/>
      <c r="P135" s="46"/>
      <c r="Q135" s="46"/>
      <c r="R135" s="47">
        <v>7500</v>
      </c>
      <c r="S135" s="171">
        <f t="shared" si="6"/>
        <v>0</v>
      </c>
      <c r="T135" s="171"/>
      <c r="U135" s="171">
        <f t="shared" si="9"/>
        <v>7500</v>
      </c>
    </row>
    <row r="136" spans="1:21" ht="17.25" customHeight="1" x14ac:dyDescent="0.15">
      <c r="A136" s="289"/>
      <c r="B136" s="40"/>
      <c r="C136" s="40" t="s">
        <v>65</v>
      </c>
      <c r="D136" s="42"/>
      <c r="E136" s="40"/>
      <c r="F136" s="40"/>
      <c r="G136" s="29"/>
      <c r="H136" s="30">
        <v>90000</v>
      </c>
      <c r="I136" s="31"/>
      <c r="J136" s="29"/>
      <c r="K136" s="30">
        <v>45000</v>
      </c>
      <c r="L136" s="31"/>
      <c r="M136" s="32"/>
      <c r="N136" s="34"/>
      <c r="O136" s="33"/>
      <c r="P136" s="46"/>
      <c r="Q136" s="46"/>
      <c r="R136" s="47">
        <v>45000</v>
      </c>
      <c r="S136" s="171">
        <f t="shared" si="6"/>
        <v>0</v>
      </c>
      <c r="T136" s="171"/>
      <c r="U136" s="171">
        <f t="shared" si="9"/>
        <v>45000</v>
      </c>
    </row>
    <row r="137" spans="1:21" ht="17.25" customHeight="1" x14ac:dyDescent="0.15">
      <c r="A137" s="289"/>
      <c r="B137" s="40"/>
      <c r="C137" s="40" t="s">
        <v>66</v>
      </c>
      <c r="D137" s="42"/>
      <c r="E137" s="40"/>
      <c r="F137" s="40"/>
      <c r="G137" s="29"/>
      <c r="H137" s="30">
        <v>78000</v>
      </c>
      <c r="I137" s="31"/>
      <c r="J137" s="29"/>
      <c r="K137" s="30">
        <f t="shared" si="10"/>
        <v>78000</v>
      </c>
      <c r="L137" s="31"/>
      <c r="M137" s="32"/>
      <c r="N137" s="34"/>
      <c r="O137" s="33"/>
      <c r="P137" s="46"/>
      <c r="Q137" s="46"/>
      <c r="R137" s="47">
        <v>78000</v>
      </c>
      <c r="S137" s="171">
        <f t="shared" si="6"/>
        <v>0</v>
      </c>
      <c r="T137" s="171"/>
      <c r="U137" s="171">
        <f t="shared" si="9"/>
        <v>78000</v>
      </c>
    </row>
    <row r="138" spans="1:21" ht="17.25" customHeight="1" x14ac:dyDescent="0.15">
      <c r="A138" s="289"/>
      <c r="B138" s="40"/>
      <c r="C138" s="40" t="s">
        <v>100</v>
      </c>
      <c r="D138" s="42"/>
      <c r="E138" s="40"/>
      <c r="F138" s="40"/>
      <c r="G138" s="29"/>
      <c r="H138" s="30">
        <v>45000</v>
      </c>
      <c r="I138" s="31"/>
      <c r="J138" s="29"/>
      <c r="K138" s="30">
        <f t="shared" si="10"/>
        <v>45000</v>
      </c>
      <c r="L138" s="31"/>
      <c r="M138" s="32"/>
      <c r="N138" s="34"/>
      <c r="O138" s="33"/>
      <c r="P138" s="46"/>
      <c r="Q138" s="46"/>
      <c r="R138" s="47">
        <v>45000</v>
      </c>
      <c r="S138" s="171">
        <f t="shared" si="6"/>
        <v>0</v>
      </c>
      <c r="T138" s="171"/>
      <c r="U138" s="171">
        <f t="shared" si="9"/>
        <v>45000</v>
      </c>
    </row>
    <row r="139" spans="1:21" ht="17.25" customHeight="1" x14ac:dyDescent="0.15">
      <c r="A139" s="289"/>
      <c r="B139" s="40"/>
      <c r="C139" s="40" t="s">
        <v>67</v>
      </c>
      <c r="D139" s="42"/>
      <c r="E139" s="40"/>
      <c r="F139" s="40"/>
      <c r="G139" s="29"/>
      <c r="H139" s="30">
        <v>36330</v>
      </c>
      <c r="I139" s="31"/>
      <c r="J139" s="29"/>
      <c r="K139" s="30">
        <v>54450</v>
      </c>
      <c r="L139" s="31"/>
      <c r="M139" s="32"/>
      <c r="N139" s="34"/>
      <c r="O139" s="33"/>
      <c r="P139" s="46"/>
      <c r="Q139" s="46"/>
      <c r="R139" s="47">
        <v>54450</v>
      </c>
      <c r="S139" s="171">
        <f t="shared" si="6"/>
        <v>0</v>
      </c>
      <c r="T139" s="171"/>
      <c r="U139" s="171">
        <f t="shared" si="9"/>
        <v>54450</v>
      </c>
    </row>
    <row r="140" spans="1:21" ht="17.25" customHeight="1" x14ac:dyDescent="0.15">
      <c r="A140" s="75"/>
      <c r="B140" s="2"/>
      <c r="C140" s="2" t="s">
        <v>101</v>
      </c>
      <c r="D140" s="76"/>
      <c r="G140" s="49"/>
      <c r="H140" s="44">
        <v>0</v>
      </c>
      <c r="I140" s="50"/>
      <c r="J140" s="49"/>
      <c r="K140" s="30">
        <f t="shared" si="10"/>
        <v>0</v>
      </c>
      <c r="L140" s="50"/>
      <c r="M140" s="51"/>
      <c r="N140" s="53"/>
      <c r="O140" s="52"/>
      <c r="P140" s="183"/>
      <c r="Q140" s="183"/>
      <c r="R140" s="258"/>
      <c r="S140" s="171">
        <f t="shared" ref="S140:S148" si="11">M140+N140+O140</f>
        <v>0</v>
      </c>
      <c r="T140" s="171"/>
      <c r="U140" s="171">
        <f t="shared" si="9"/>
        <v>0</v>
      </c>
    </row>
    <row r="141" spans="1:21" ht="17.25" customHeight="1" x14ac:dyDescent="0.15">
      <c r="A141" s="63"/>
      <c r="B141" s="65" t="s">
        <v>73</v>
      </c>
      <c r="C141" s="80"/>
      <c r="D141" s="64"/>
      <c r="E141" s="65"/>
      <c r="F141" s="65"/>
      <c r="G141" s="81"/>
      <c r="H141" s="82">
        <f>H37+H87+H112</f>
        <v>77454280</v>
      </c>
      <c r="I141" s="83"/>
      <c r="J141" s="81"/>
      <c r="K141" s="82">
        <f>K37+K87+K112</f>
        <v>80690484</v>
      </c>
      <c r="L141" s="83"/>
      <c r="M141" s="84">
        <f>SUM(M38:M140)</f>
        <v>33391093</v>
      </c>
      <c r="N141" s="86">
        <f t="shared" ref="N141:R141" si="12">SUM(N38:N140)</f>
        <v>5911708</v>
      </c>
      <c r="O141" s="85">
        <f t="shared" si="12"/>
        <v>7186473</v>
      </c>
      <c r="P141" s="73">
        <f t="shared" si="12"/>
        <v>953053</v>
      </c>
      <c r="Q141" s="73">
        <f t="shared" si="12"/>
        <v>23306225</v>
      </c>
      <c r="R141" s="87">
        <f t="shared" si="12"/>
        <v>9941932</v>
      </c>
      <c r="S141" s="171">
        <f>SUM(M141:R141)</f>
        <v>80690484</v>
      </c>
      <c r="T141" s="171"/>
      <c r="U141" s="171">
        <f t="shared" si="9"/>
        <v>114891694</v>
      </c>
    </row>
    <row r="142" spans="1:21" ht="20.25" customHeight="1" thickBot="1" x14ac:dyDescent="0.2">
      <c r="A142" s="88"/>
      <c r="B142" s="89" t="s">
        <v>74</v>
      </c>
      <c r="C142" s="90"/>
      <c r="D142" s="91"/>
      <c r="E142" s="89"/>
      <c r="F142" s="89"/>
      <c r="G142" s="92"/>
      <c r="H142" s="218">
        <f>H35-H141</f>
        <v>-2775280</v>
      </c>
      <c r="I142" s="94"/>
      <c r="J142" s="92"/>
      <c r="K142" s="93">
        <f>K35-K141</f>
        <v>-5357884</v>
      </c>
      <c r="L142" s="94"/>
      <c r="M142" s="95">
        <f t="shared" ref="M142:R142" si="13">M35-M141</f>
        <v>-2744204</v>
      </c>
      <c r="N142" s="96">
        <f t="shared" si="13"/>
        <v>-707903</v>
      </c>
      <c r="O142" s="189">
        <f t="shared" si="13"/>
        <v>-958267</v>
      </c>
      <c r="P142" s="98">
        <f t="shared" si="13"/>
        <v>496947</v>
      </c>
      <c r="Q142" s="98">
        <f t="shared" si="13"/>
        <v>-1530725</v>
      </c>
      <c r="R142" s="99">
        <f t="shared" si="13"/>
        <v>86268</v>
      </c>
      <c r="S142" s="171">
        <f t="shared" si="11"/>
        <v>-4410374</v>
      </c>
      <c r="U142" s="171">
        <f t="shared" si="9"/>
        <v>-5357884</v>
      </c>
    </row>
    <row r="143" spans="1:21" ht="22.5" customHeight="1" x14ac:dyDescent="0.15">
      <c r="A143" s="100"/>
      <c r="B143" s="101"/>
      <c r="C143" s="102"/>
      <c r="D143" s="103"/>
      <c r="E143" s="101"/>
      <c r="F143" s="101"/>
      <c r="G143" s="104"/>
      <c r="H143" s="105"/>
      <c r="I143" s="106"/>
      <c r="J143" s="104"/>
      <c r="K143" s="107"/>
      <c r="L143" s="106"/>
      <c r="M143" s="108"/>
      <c r="N143" s="111"/>
      <c r="O143" s="1"/>
      <c r="P143" s="112"/>
      <c r="Q143" s="112"/>
      <c r="R143" s="113"/>
      <c r="S143" s="171">
        <f t="shared" si="11"/>
        <v>0</v>
      </c>
      <c r="U143" s="171">
        <f t="shared" si="9"/>
        <v>0</v>
      </c>
    </row>
    <row r="144" spans="1:21" ht="22.5" customHeight="1" x14ac:dyDescent="0.15">
      <c r="A144" s="100"/>
      <c r="B144" s="101"/>
      <c r="C144" s="102"/>
      <c r="D144" s="103"/>
      <c r="E144" s="101"/>
      <c r="F144" s="101"/>
      <c r="G144" s="104"/>
      <c r="H144" s="105"/>
      <c r="I144" s="106"/>
      <c r="J144" s="104"/>
      <c r="K144" s="114"/>
      <c r="L144" s="106"/>
      <c r="M144" s="108"/>
      <c r="N144" s="86"/>
      <c r="O144" s="141"/>
      <c r="P144" s="112"/>
      <c r="Q144" s="112"/>
      <c r="R144" s="113"/>
      <c r="S144" s="171">
        <f t="shared" si="11"/>
        <v>0</v>
      </c>
    </row>
    <row r="145" spans="1:19" ht="22.5" customHeight="1" x14ac:dyDescent="0.15">
      <c r="A145" s="374" t="s">
        <v>75</v>
      </c>
      <c r="B145" s="375"/>
      <c r="C145" s="375"/>
      <c r="D145" s="375"/>
      <c r="E145" s="375"/>
      <c r="F145" s="376"/>
      <c r="G145" s="117"/>
      <c r="H145" s="114">
        <f>H142</f>
        <v>-2775280</v>
      </c>
      <c r="I145" s="118"/>
      <c r="J145" s="119"/>
      <c r="K145" s="120">
        <f>K142</f>
        <v>-5357884</v>
      </c>
      <c r="L145" s="83"/>
      <c r="M145" s="84"/>
      <c r="N145" s="121"/>
      <c r="O145" s="142"/>
      <c r="P145" s="122"/>
      <c r="Q145" s="122"/>
      <c r="R145" s="123"/>
      <c r="S145" s="171">
        <f t="shared" si="11"/>
        <v>0</v>
      </c>
    </row>
    <row r="146" spans="1:19" ht="20.25" customHeight="1" x14ac:dyDescent="0.15">
      <c r="A146" s="115"/>
      <c r="B146" s="124" t="s">
        <v>76</v>
      </c>
      <c r="C146" s="116"/>
      <c r="D146" s="116"/>
      <c r="E146" s="116"/>
      <c r="F146" s="116"/>
      <c r="G146" s="117"/>
      <c r="H146" s="82">
        <v>69224790</v>
      </c>
      <c r="I146" s="118"/>
      <c r="J146" s="119"/>
      <c r="K146" s="125"/>
      <c r="L146" s="83"/>
      <c r="M146" s="84"/>
      <c r="N146" s="121"/>
      <c r="O146" s="142"/>
      <c r="P146" s="122"/>
      <c r="Q146" s="122"/>
      <c r="R146" s="123"/>
      <c r="S146" s="171">
        <f t="shared" si="11"/>
        <v>0</v>
      </c>
    </row>
    <row r="147" spans="1:19" ht="20.25" customHeight="1" x14ac:dyDescent="0.15">
      <c r="A147" s="115"/>
      <c r="B147" s="124" t="s">
        <v>77</v>
      </c>
      <c r="C147" s="116"/>
      <c r="D147" s="116"/>
      <c r="E147" s="116"/>
      <c r="F147" s="116"/>
      <c r="G147" s="117"/>
      <c r="H147" s="82">
        <f>SUM(H145:H146)</f>
        <v>66449510</v>
      </c>
      <c r="I147" s="118"/>
      <c r="J147" s="119"/>
      <c r="K147" s="82"/>
      <c r="L147" s="83"/>
      <c r="M147" s="84"/>
      <c r="N147" s="121"/>
      <c r="O147" s="142"/>
      <c r="P147" s="122"/>
      <c r="Q147" s="122"/>
      <c r="R147" s="123"/>
      <c r="S147" s="171">
        <f t="shared" si="11"/>
        <v>0</v>
      </c>
    </row>
    <row r="148" spans="1:19" ht="20.25" customHeight="1" thickBot="1" x14ac:dyDescent="0.2">
      <c r="A148" s="126" t="s">
        <v>78</v>
      </c>
      <c r="B148" s="127"/>
      <c r="C148" s="128"/>
      <c r="D148" s="128"/>
      <c r="E148" s="128"/>
      <c r="F148" s="128"/>
      <c r="G148" s="129"/>
      <c r="H148" s="130">
        <f>H147</f>
        <v>66449510</v>
      </c>
      <c r="I148" s="131"/>
      <c r="J148" s="132"/>
      <c r="K148" s="130"/>
      <c r="L148" s="94"/>
      <c r="M148" s="133"/>
      <c r="N148" s="135"/>
      <c r="O148" s="143"/>
      <c r="P148" s="136"/>
      <c r="Q148" s="136"/>
      <c r="R148" s="137"/>
      <c r="S148" s="171">
        <f t="shared" si="11"/>
        <v>0</v>
      </c>
    </row>
    <row r="149" spans="1:19" ht="26.25" customHeight="1" x14ac:dyDescent="0.15">
      <c r="B149" s="2"/>
      <c r="C149" s="2"/>
      <c r="D149" s="166"/>
      <c r="E149" s="166"/>
      <c r="L149" s="3"/>
      <c r="M149" s="2"/>
      <c r="N149" s="167"/>
    </row>
    <row r="150" spans="1:19" ht="30" customHeight="1" x14ac:dyDescent="0.15">
      <c r="B150" s="364"/>
      <c r="C150" s="364"/>
      <c r="D150" s="364"/>
      <c r="E150" s="364"/>
      <c r="F150" s="364"/>
      <c r="G150" s="185"/>
      <c r="H150" s="365"/>
      <c r="I150" s="365"/>
      <c r="J150" s="343"/>
      <c r="K150" s="343"/>
      <c r="L150" s="343"/>
      <c r="M150" s="343"/>
      <c r="P150" s="138"/>
      <c r="Q150" s="138"/>
      <c r="R150" s="138"/>
    </row>
    <row r="151" spans="1:19" x14ac:dyDescent="0.15">
      <c r="B151" s="2"/>
      <c r="E151" s="1"/>
      <c r="M151" s="2"/>
    </row>
  </sheetData>
  <mergeCells count="23">
    <mergeCell ref="A2:R2"/>
    <mergeCell ref="A3:R3"/>
    <mergeCell ref="A4:G4"/>
    <mergeCell ref="A5:F6"/>
    <mergeCell ref="G5:I6"/>
    <mergeCell ref="J5:L6"/>
    <mergeCell ref="M5:O5"/>
    <mergeCell ref="P5:Q5"/>
    <mergeCell ref="R5:R6"/>
    <mergeCell ref="B76:F76"/>
    <mergeCell ref="A145:F145"/>
    <mergeCell ref="B150:F150"/>
    <mergeCell ref="H150:M150"/>
    <mergeCell ref="A7:F7"/>
    <mergeCell ref="C25:F25"/>
    <mergeCell ref="B38:F38"/>
    <mergeCell ref="B51:F51"/>
    <mergeCell ref="B60:F60"/>
    <mergeCell ref="B74:F74"/>
    <mergeCell ref="C52:E52"/>
    <mergeCell ref="C55:E55"/>
    <mergeCell ref="C67:E67"/>
    <mergeCell ref="C83:E83"/>
  </mergeCells>
  <phoneticPr fontId="2"/>
  <printOptions horizontalCentered="1"/>
  <pageMargins left="0.47244094488188981" right="0.47244094488188981" top="0.74803149606299213" bottom="0.74803149606299213" header="0.31496062992125984" footer="0.31496062992125984"/>
  <pageSetup paperSize="9" scale="86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  <pageSetUpPr fitToPage="1"/>
  </sheetPr>
  <dimension ref="A1:U151"/>
  <sheetViews>
    <sheetView zoomScaleNormal="100" workbookViewId="0">
      <pane xSplit="10" ySplit="5" topLeftCell="K6" activePane="bottomRight" state="frozen"/>
      <selection activeCell="K90" activeCellId="1" sqref="K56 K90"/>
      <selection pane="topRight" activeCell="K90" activeCellId="1" sqref="K56 K90"/>
      <selection pane="bottomLeft" activeCell="K90" activeCellId="1" sqref="K56 K90"/>
      <selection pane="bottomRight" activeCell="K14" sqref="K14"/>
    </sheetView>
  </sheetViews>
  <sheetFormatPr defaultRowHeight="13.5" x14ac:dyDescent="0.15"/>
  <cols>
    <col min="1" max="1" width="1.5" style="1" customWidth="1"/>
    <col min="2" max="2" width="2.125" style="1" customWidth="1"/>
    <col min="3" max="3" width="2.5" style="1" customWidth="1"/>
    <col min="4" max="4" width="1.625" style="1" customWidth="1"/>
    <col min="5" max="5" width="6.625" style="2" customWidth="1"/>
    <col min="6" max="6" width="7.625" style="2" customWidth="1"/>
    <col min="7" max="7" width="1.75" style="2" customWidth="1"/>
    <col min="8" max="8" width="14.625" style="2" customWidth="1"/>
    <col min="9" max="10" width="1.5" style="2" customWidth="1"/>
    <col min="11" max="11" width="14.625" style="2" customWidth="1"/>
    <col min="12" max="12" width="1.5" style="2" customWidth="1"/>
    <col min="13" max="16" width="14.625" style="4" customWidth="1"/>
    <col min="17" max="17" width="10.25" style="4" bestFit="1" customWidth="1"/>
    <col min="18" max="18" width="9.25" style="4" bestFit="1" customWidth="1"/>
    <col min="19" max="19" width="10.5" style="4" bestFit="1" customWidth="1"/>
    <col min="20" max="20" width="10" style="4" bestFit="1" customWidth="1"/>
    <col min="21" max="21" width="9.5" style="1" bestFit="1" customWidth="1"/>
    <col min="22" max="256" width="9" style="1"/>
    <col min="257" max="257" width="1.5" style="1" customWidth="1"/>
    <col min="258" max="258" width="2.125" style="1" customWidth="1"/>
    <col min="259" max="259" width="2.5" style="1" customWidth="1"/>
    <col min="260" max="260" width="1.625" style="1" customWidth="1"/>
    <col min="261" max="261" width="6.625" style="1" customWidth="1"/>
    <col min="262" max="262" width="7.625" style="1" customWidth="1"/>
    <col min="263" max="263" width="1.75" style="1" customWidth="1"/>
    <col min="264" max="264" width="12.25" style="1" customWidth="1"/>
    <col min="265" max="266" width="1.5" style="1" customWidth="1"/>
    <col min="267" max="267" width="12.25" style="1" customWidth="1"/>
    <col min="268" max="268" width="1.5" style="1" customWidth="1"/>
    <col min="269" max="269" width="13.25" style="1" customWidth="1"/>
    <col min="270" max="272" width="12.25" style="1" customWidth="1"/>
    <col min="273" max="273" width="10.25" style="1" bestFit="1" customWidth="1"/>
    <col min="274" max="274" width="9.25" style="1" bestFit="1" customWidth="1"/>
    <col min="275" max="275" width="10.5" style="1" bestFit="1" customWidth="1"/>
    <col min="276" max="276" width="10" style="1" bestFit="1" customWidth="1"/>
    <col min="277" max="512" width="9" style="1"/>
    <col min="513" max="513" width="1.5" style="1" customWidth="1"/>
    <col min="514" max="514" width="2.125" style="1" customWidth="1"/>
    <col min="515" max="515" width="2.5" style="1" customWidth="1"/>
    <col min="516" max="516" width="1.625" style="1" customWidth="1"/>
    <col min="517" max="517" width="6.625" style="1" customWidth="1"/>
    <col min="518" max="518" width="7.625" style="1" customWidth="1"/>
    <col min="519" max="519" width="1.75" style="1" customWidth="1"/>
    <col min="520" max="520" width="12.25" style="1" customWidth="1"/>
    <col min="521" max="522" width="1.5" style="1" customWidth="1"/>
    <col min="523" max="523" width="12.25" style="1" customWidth="1"/>
    <col min="524" max="524" width="1.5" style="1" customWidth="1"/>
    <col min="525" max="525" width="13.25" style="1" customWidth="1"/>
    <col min="526" max="528" width="12.25" style="1" customWidth="1"/>
    <col min="529" max="529" width="10.25" style="1" bestFit="1" customWidth="1"/>
    <col min="530" max="530" width="9.25" style="1" bestFit="1" customWidth="1"/>
    <col min="531" max="531" width="10.5" style="1" bestFit="1" customWidth="1"/>
    <col min="532" max="532" width="10" style="1" bestFit="1" customWidth="1"/>
    <col min="533" max="768" width="9" style="1"/>
    <col min="769" max="769" width="1.5" style="1" customWidth="1"/>
    <col min="770" max="770" width="2.125" style="1" customWidth="1"/>
    <col min="771" max="771" width="2.5" style="1" customWidth="1"/>
    <col min="772" max="772" width="1.625" style="1" customWidth="1"/>
    <col min="773" max="773" width="6.625" style="1" customWidth="1"/>
    <col min="774" max="774" width="7.625" style="1" customWidth="1"/>
    <col min="775" max="775" width="1.75" style="1" customWidth="1"/>
    <col min="776" max="776" width="12.25" style="1" customWidth="1"/>
    <col min="777" max="778" width="1.5" style="1" customWidth="1"/>
    <col min="779" max="779" width="12.25" style="1" customWidth="1"/>
    <col min="780" max="780" width="1.5" style="1" customWidth="1"/>
    <col min="781" max="781" width="13.25" style="1" customWidth="1"/>
    <col min="782" max="784" width="12.25" style="1" customWidth="1"/>
    <col min="785" max="785" width="10.25" style="1" bestFit="1" customWidth="1"/>
    <col min="786" max="786" width="9.25" style="1" bestFit="1" customWidth="1"/>
    <col min="787" max="787" width="10.5" style="1" bestFit="1" customWidth="1"/>
    <col min="788" max="788" width="10" style="1" bestFit="1" customWidth="1"/>
    <col min="789" max="1024" width="9" style="1"/>
    <col min="1025" max="1025" width="1.5" style="1" customWidth="1"/>
    <col min="1026" max="1026" width="2.125" style="1" customWidth="1"/>
    <col min="1027" max="1027" width="2.5" style="1" customWidth="1"/>
    <col min="1028" max="1028" width="1.625" style="1" customWidth="1"/>
    <col min="1029" max="1029" width="6.625" style="1" customWidth="1"/>
    <col min="1030" max="1030" width="7.625" style="1" customWidth="1"/>
    <col min="1031" max="1031" width="1.75" style="1" customWidth="1"/>
    <col min="1032" max="1032" width="12.25" style="1" customWidth="1"/>
    <col min="1033" max="1034" width="1.5" style="1" customWidth="1"/>
    <col min="1035" max="1035" width="12.25" style="1" customWidth="1"/>
    <col min="1036" max="1036" width="1.5" style="1" customWidth="1"/>
    <col min="1037" max="1037" width="13.25" style="1" customWidth="1"/>
    <col min="1038" max="1040" width="12.25" style="1" customWidth="1"/>
    <col min="1041" max="1041" width="10.25" style="1" bestFit="1" customWidth="1"/>
    <col min="1042" max="1042" width="9.25" style="1" bestFit="1" customWidth="1"/>
    <col min="1043" max="1043" width="10.5" style="1" bestFit="1" customWidth="1"/>
    <col min="1044" max="1044" width="10" style="1" bestFit="1" customWidth="1"/>
    <col min="1045" max="1280" width="9" style="1"/>
    <col min="1281" max="1281" width="1.5" style="1" customWidth="1"/>
    <col min="1282" max="1282" width="2.125" style="1" customWidth="1"/>
    <col min="1283" max="1283" width="2.5" style="1" customWidth="1"/>
    <col min="1284" max="1284" width="1.625" style="1" customWidth="1"/>
    <col min="1285" max="1285" width="6.625" style="1" customWidth="1"/>
    <col min="1286" max="1286" width="7.625" style="1" customWidth="1"/>
    <col min="1287" max="1287" width="1.75" style="1" customWidth="1"/>
    <col min="1288" max="1288" width="12.25" style="1" customWidth="1"/>
    <col min="1289" max="1290" width="1.5" style="1" customWidth="1"/>
    <col min="1291" max="1291" width="12.25" style="1" customWidth="1"/>
    <col min="1292" max="1292" width="1.5" style="1" customWidth="1"/>
    <col min="1293" max="1293" width="13.25" style="1" customWidth="1"/>
    <col min="1294" max="1296" width="12.25" style="1" customWidth="1"/>
    <col min="1297" max="1297" width="10.25" style="1" bestFit="1" customWidth="1"/>
    <col min="1298" max="1298" width="9.25" style="1" bestFit="1" customWidth="1"/>
    <col min="1299" max="1299" width="10.5" style="1" bestFit="1" customWidth="1"/>
    <col min="1300" max="1300" width="10" style="1" bestFit="1" customWidth="1"/>
    <col min="1301" max="1536" width="9" style="1"/>
    <col min="1537" max="1537" width="1.5" style="1" customWidth="1"/>
    <col min="1538" max="1538" width="2.125" style="1" customWidth="1"/>
    <col min="1539" max="1539" width="2.5" style="1" customWidth="1"/>
    <col min="1540" max="1540" width="1.625" style="1" customWidth="1"/>
    <col min="1541" max="1541" width="6.625" style="1" customWidth="1"/>
    <col min="1542" max="1542" width="7.625" style="1" customWidth="1"/>
    <col min="1543" max="1543" width="1.75" style="1" customWidth="1"/>
    <col min="1544" max="1544" width="12.25" style="1" customWidth="1"/>
    <col min="1545" max="1546" width="1.5" style="1" customWidth="1"/>
    <col min="1547" max="1547" width="12.25" style="1" customWidth="1"/>
    <col min="1548" max="1548" width="1.5" style="1" customWidth="1"/>
    <col min="1549" max="1549" width="13.25" style="1" customWidth="1"/>
    <col min="1550" max="1552" width="12.25" style="1" customWidth="1"/>
    <col min="1553" max="1553" width="10.25" style="1" bestFit="1" customWidth="1"/>
    <col min="1554" max="1554" width="9.25" style="1" bestFit="1" customWidth="1"/>
    <col min="1555" max="1555" width="10.5" style="1" bestFit="1" customWidth="1"/>
    <col min="1556" max="1556" width="10" style="1" bestFit="1" customWidth="1"/>
    <col min="1557" max="1792" width="9" style="1"/>
    <col min="1793" max="1793" width="1.5" style="1" customWidth="1"/>
    <col min="1794" max="1794" width="2.125" style="1" customWidth="1"/>
    <col min="1795" max="1795" width="2.5" style="1" customWidth="1"/>
    <col min="1796" max="1796" width="1.625" style="1" customWidth="1"/>
    <col min="1797" max="1797" width="6.625" style="1" customWidth="1"/>
    <col min="1798" max="1798" width="7.625" style="1" customWidth="1"/>
    <col min="1799" max="1799" width="1.75" style="1" customWidth="1"/>
    <col min="1800" max="1800" width="12.25" style="1" customWidth="1"/>
    <col min="1801" max="1802" width="1.5" style="1" customWidth="1"/>
    <col min="1803" max="1803" width="12.25" style="1" customWidth="1"/>
    <col min="1804" max="1804" width="1.5" style="1" customWidth="1"/>
    <col min="1805" max="1805" width="13.25" style="1" customWidth="1"/>
    <col min="1806" max="1808" width="12.25" style="1" customWidth="1"/>
    <col min="1809" max="1809" width="10.25" style="1" bestFit="1" customWidth="1"/>
    <col min="1810" max="1810" width="9.25" style="1" bestFit="1" customWidth="1"/>
    <col min="1811" max="1811" width="10.5" style="1" bestFit="1" customWidth="1"/>
    <col min="1812" max="1812" width="10" style="1" bestFit="1" customWidth="1"/>
    <col min="1813" max="2048" width="9" style="1"/>
    <col min="2049" max="2049" width="1.5" style="1" customWidth="1"/>
    <col min="2050" max="2050" width="2.125" style="1" customWidth="1"/>
    <col min="2051" max="2051" width="2.5" style="1" customWidth="1"/>
    <col min="2052" max="2052" width="1.625" style="1" customWidth="1"/>
    <col min="2053" max="2053" width="6.625" style="1" customWidth="1"/>
    <col min="2054" max="2054" width="7.625" style="1" customWidth="1"/>
    <col min="2055" max="2055" width="1.75" style="1" customWidth="1"/>
    <col min="2056" max="2056" width="12.25" style="1" customWidth="1"/>
    <col min="2057" max="2058" width="1.5" style="1" customWidth="1"/>
    <col min="2059" max="2059" width="12.25" style="1" customWidth="1"/>
    <col min="2060" max="2060" width="1.5" style="1" customWidth="1"/>
    <col min="2061" max="2061" width="13.25" style="1" customWidth="1"/>
    <col min="2062" max="2064" width="12.25" style="1" customWidth="1"/>
    <col min="2065" max="2065" width="10.25" style="1" bestFit="1" customWidth="1"/>
    <col min="2066" max="2066" width="9.25" style="1" bestFit="1" customWidth="1"/>
    <col min="2067" max="2067" width="10.5" style="1" bestFit="1" customWidth="1"/>
    <col min="2068" max="2068" width="10" style="1" bestFit="1" customWidth="1"/>
    <col min="2069" max="2304" width="9" style="1"/>
    <col min="2305" max="2305" width="1.5" style="1" customWidth="1"/>
    <col min="2306" max="2306" width="2.125" style="1" customWidth="1"/>
    <col min="2307" max="2307" width="2.5" style="1" customWidth="1"/>
    <col min="2308" max="2308" width="1.625" style="1" customWidth="1"/>
    <col min="2309" max="2309" width="6.625" style="1" customWidth="1"/>
    <col min="2310" max="2310" width="7.625" style="1" customWidth="1"/>
    <col min="2311" max="2311" width="1.75" style="1" customWidth="1"/>
    <col min="2312" max="2312" width="12.25" style="1" customWidth="1"/>
    <col min="2313" max="2314" width="1.5" style="1" customWidth="1"/>
    <col min="2315" max="2315" width="12.25" style="1" customWidth="1"/>
    <col min="2316" max="2316" width="1.5" style="1" customWidth="1"/>
    <col min="2317" max="2317" width="13.25" style="1" customWidth="1"/>
    <col min="2318" max="2320" width="12.25" style="1" customWidth="1"/>
    <col min="2321" max="2321" width="10.25" style="1" bestFit="1" customWidth="1"/>
    <col min="2322" max="2322" width="9.25" style="1" bestFit="1" customWidth="1"/>
    <col min="2323" max="2323" width="10.5" style="1" bestFit="1" customWidth="1"/>
    <col min="2324" max="2324" width="10" style="1" bestFit="1" customWidth="1"/>
    <col min="2325" max="2560" width="9" style="1"/>
    <col min="2561" max="2561" width="1.5" style="1" customWidth="1"/>
    <col min="2562" max="2562" width="2.125" style="1" customWidth="1"/>
    <col min="2563" max="2563" width="2.5" style="1" customWidth="1"/>
    <col min="2564" max="2564" width="1.625" style="1" customWidth="1"/>
    <col min="2565" max="2565" width="6.625" style="1" customWidth="1"/>
    <col min="2566" max="2566" width="7.625" style="1" customWidth="1"/>
    <col min="2567" max="2567" width="1.75" style="1" customWidth="1"/>
    <col min="2568" max="2568" width="12.25" style="1" customWidth="1"/>
    <col min="2569" max="2570" width="1.5" style="1" customWidth="1"/>
    <col min="2571" max="2571" width="12.25" style="1" customWidth="1"/>
    <col min="2572" max="2572" width="1.5" style="1" customWidth="1"/>
    <col min="2573" max="2573" width="13.25" style="1" customWidth="1"/>
    <col min="2574" max="2576" width="12.25" style="1" customWidth="1"/>
    <col min="2577" max="2577" width="10.25" style="1" bestFit="1" customWidth="1"/>
    <col min="2578" max="2578" width="9.25" style="1" bestFit="1" customWidth="1"/>
    <col min="2579" max="2579" width="10.5" style="1" bestFit="1" customWidth="1"/>
    <col min="2580" max="2580" width="10" style="1" bestFit="1" customWidth="1"/>
    <col min="2581" max="2816" width="9" style="1"/>
    <col min="2817" max="2817" width="1.5" style="1" customWidth="1"/>
    <col min="2818" max="2818" width="2.125" style="1" customWidth="1"/>
    <col min="2819" max="2819" width="2.5" style="1" customWidth="1"/>
    <col min="2820" max="2820" width="1.625" style="1" customWidth="1"/>
    <col min="2821" max="2821" width="6.625" style="1" customWidth="1"/>
    <col min="2822" max="2822" width="7.625" style="1" customWidth="1"/>
    <col min="2823" max="2823" width="1.75" style="1" customWidth="1"/>
    <col min="2824" max="2824" width="12.25" style="1" customWidth="1"/>
    <col min="2825" max="2826" width="1.5" style="1" customWidth="1"/>
    <col min="2827" max="2827" width="12.25" style="1" customWidth="1"/>
    <col min="2828" max="2828" width="1.5" style="1" customWidth="1"/>
    <col min="2829" max="2829" width="13.25" style="1" customWidth="1"/>
    <col min="2830" max="2832" width="12.25" style="1" customWidth="1"/>
    <col min="2833" max="2833" width="10.25" style="1" bestFit="1" customWidth="1"/>
    <col min="2834" max="2834" width="9.25" style="1" bestFit="1" customWidth="1"/>
    <col min="2835" max="2835" width="10.5" style="1" bestFit="1" customWidth="1"/>
    <col min="2836" max="2836" width="10" style="1" bestFit="1" customWidth="1"/>
    <col min="2837" max="3072" width="9" style="1"/>
    <col min="3073" max="3073" width="1.5" style="1" customWidth="1"/>
    <col min="3074" max="3074" width="2.125" style="1" customWidth="1"/>
    <col min="3075" max="3075" width="2.5" style="1" customWidth="1"/>
    <col min="3076" max="3076" width="1.625" style="1" customWidth="1"/>
    <col min="3077" max="3077" width="6.625" style="1" customWidth="1"/>
    <col min="3078" max="3078" width="7.625" style="1" customWidth="1"/>
    <col min="3079" max="3079" width="1.75" style="1" customWidth="1"/>
    <col min="3080" max="3080" width="12.25" style="1" customWidth="1"/>
    <col min="3081" max="3082" width="1.5" style="1" customWidth="1"/>
    <col min="3083" max="3083" width="12.25" style="1" customWidth="1"/>
    <col min="3084" max="3084" width="1.5" style="1" customWidth="1"/>
    <col min="3085" max="3085" width="13.25" style="1" customWidth="1"/>
    <col min="3086" max="3088" width="12.25" style="1" customWidth="1"/>
    <col min="3089" max="3089" width="10.25" style="1" bestFit="1" customWidth="1"/>
    <col min="3090" max="3090" width="9.25" style="1" bestFit="1" customWidth="1"/>
    <col min="3091" max="3091" width="10.5" style="1" bestFit="1" customWidth="1"/>
    <col min="3092" max="3092" width="10" style="1" bestFit="1" customWidth="1"/>
    <col min="3093" max="3328" width="9" style="1"/>
    <col min="3329" max="3329" width="1.5" style="1" customWidth="1"/>
    <col min="3330" max="3330" width="2.125" style="1" customWidth="1"/>
    <col min="3331" max="3331" width="2.5" style="1" customWidth="1"/>
    <col min="3332" max="3332" width="1.625" style="1" customWidth="1"/>
    <col min="3333" max="3333" width="6.625" style="1" customWidth="1"/>
    <col min="3334" max="3334" width="7.625" style="1" customWidth="1"/>
    <col min="3335" max="3335" width="1.75" style="1" customWidth="1"/>
    <col min="3336" max="3336" width="12.25" style="1" customWidth="1"/>
    <col min="3337" max="3338" width="1.5" style="1" customWidth="1"/>
    <col min="3339" max="3339" width="12.25" style="1" customWidth="1"/>
    <col min="3340" max="3340" width="1.5" style="1" customWidth="1"/>
    <col min="3341" max="3341" width="13.25" style="1" customWidth="1"/>
    <col min="3342" max="3344" width="12.25" style="1" customWidth="1"/>
    <col min="3345" max="3345" width="10.25" style="1" bestFit="1" customWidth="1"/>
    <col min="3346" max="3346" width="9.25" style="1" bestFit="1" customWidth="1"/>
    <col min="3347" max="3347" width="10.5" style="1" bestFit="1" customWidth="1"/>
    <col min="3348" max="3348" width="10" style="1" bestFit="1" customWidth="1"/>
    <col min="3349" max="3584" width="9" style="1"/>
    <col min="3585" max="3585" width="1.5" style="1" customWidth="1"/>
    <col min="3586" max="3586" width="2.125" style="1" customWidth="1"/>
    <col min="3587" max="3587" width="2.5" style="1" customWidth="1"/>
    <col min="3588" max="3588" width="1.625" style="1" customWidth="1"/>
    <col min="3589" max="3589" width="6.625" style="1" customWidth="1"/>
    <col min="3590" max="3590" width="7.625" style="1" customWidth="1"/>
    <col min="3591" max="3591" width="1.75" style="1" customWidth="1"/>
    <col min="3592" max="3592" width="12.25" style="1" customWidth="1"/>
    <col min="3593" max="3594" width="1.5" style="1" customWidth="1"/>
    <col min="3595" max="3595" width="12.25" style="1" customWidth="1"/>
    <col min="3596" max="3596" width="1.5" style="1" customWidth="1"/>
    <col min="3597" max="3597" width="13.25" style="1" customWidth="1"/>
    <col min="3598" max="3600" width="12.25" style="1" customWidth="1"/>
    <col min="3601" max="3601" width="10.25" style="1" bestFit="1" customWidth="1"/>
    <col min="3602" max="3602" width="9.25" style="1" bestFit="1" customWidth="1"/>
    <col min="3603" max="3603" width="10.5" style="1" bestFit="1" customWidth="1"/>
    <col min="3604" max="3604" width="10" style="1" bestFit="1" customWidth="1"/>
    <col min="3605" max="3840" width="9" style="1"/>
    <col min="3841" max="3841" width="1.5" style="1" customWidth="1"/>
    <col min="3842" max="3842" width="2.125" style="1" customWidth="1"/>
    <col min="3843" max="3843" width="2.5" style="1" customWidth="1"/>
    <col min="3844" max="3844" width="1.625" style="1" customWidth="1"/>
    <col min="3845" max="3845" width="6.625" style="1" customWidth="1"/>
    <col min="3846" max="3846" width="7.625" style="1" customWidth="1"/>
    <col min="3847" max="3847" width="1.75" style="1" customWidth="1"/>
    <col min="3848" max="3848" width="12.25" style="1" customWidth="1"/>
    <col min="3849" max="3850" width="1.5" style="1" customWidth="1"/>
    <col min="3851" max="3851" width="12.25" style="1" customWidth="1"/>
    <col min="3852" max="3852" width="1.5" style="1" customWidth="1"/>
    <col min="3853" max="3853" width="13.25" style="1" customWidth="1"/>
    <col min="3854" max="3856" width="12.25" style="1" customWidth="1"/>
    <col min="3857" max="3857" width="10.25" style="1" bestFit="1" customWidth="1"/>
    <col min="3858" max="3858" width="9.25" style="1" bestFit="1" customWidth="1"/>
    <col min="3859" max="3859" width="10.5" style="1" bestFit="1" customWidth="1"/>
    <col min="3860" max="3860" width="10" style="1" bestFit="1" customWidth="1"/>
    <col min="3861" max="4096" width="9" style="1"/>
    <col min="4097" max="4097" width="1.5" style="1" customWidth="1"/>
    <col min="4098" max="4098" width="2.125" style="1" customWidth="1"/>
    <col min="4099" max="4099" width="2.5" style="1" customWidth="1"/>
    <col min="4100" max="4100" width="1.625" style="1" customWidth="1"/>
    <col min="4101" max="4101" width="6.625" style="1" customWidth="1"/>
    <col min="4102" max="4102" width="7.625" style="1" customWidth="1"/>
    <col min="4103" max="4103" width="1.75" style="1" customWidth="1"/>
    <col min="4104" max="4104" width="12.25" style="1" customWidth="1"/>
    <col min="4105" max="4106" width="1.5" style="1" customWidth="1"/>
    <col min="4107" max="4107" width="12.25" style="1" customWidth="1"/>
    <col min="4108" max="4108" width="1.5" style="1" customWidth="1"/>
    <col min="4109" max="4109" width="13.25" style="1" customWidth="1"/>
    <col min="4110" max="4112" width="12.25" style="1" customWidth="1"/>
    <col min="4113" max="4113" width="10.25" style="1" bestFit="1" customWidth="1"/>
    <col min="4114" max="4114" width="9.25" style="1" bestFit="1" customWidth="1"/>
    <col min="4115" max="4115" width="10.5" style="1" bestFit="1" customWidth="1"/>
    <col min="4116" max="4116" width="10" style="1" bestFit="1" customWidth="1"/>
    <col min="4117" max="4352" width="9" style="1"/>
    <col min="4353" max="4353" width="1.5" style="1" customWidth="1"/>
    <col min="4354" max="4354" width="2.125" style="1" customWidth="1"/>
    <col min="4355" max="4355" width="2.5" style="1" customWidth="1"/>
    <col min="4356" max="4356" width="1.625" style="1" customWidth="1"/>
    <col min="4357" max="4357" width="6.625" style="1" customWidth="1"/>
    <col min="4358" max="4358" width="7.625" style="1" customWidth="1"/>
    <col min="4359" max="4359" width="1.75" style="1" customWidth="1"/>
    <col min="4360" max="4360" width="12.25" style="1" customWidth="1"/>
    <col min="4361" max="4362" width="1.5" style="1" customWidth="1"/>
    <col min="4363" max="4363" width="12.25" style="1" customWidth="1"/>
    <col min="4364" max="4364" width="1.5" style="1" customWidth="1"/>
    <col min="4365" max="4365" width="13.25" style="1" customWidth="1"/>
    <col min="4366" max="4368" width="12.25" style="1" customWidth="1"/>
    <col min="4369" max="4369" width="10.25" style="1" bestFit="1" customWidth="1"/>
    <col min="4370" max="4370" width="9.25" style="1" bestFit="1" customWidth="1"/>
    <col min="4371" max="4371" width="10.5" style="1" bestFit="1" customWidth="1"/>
    <col min="4372" max="4372" width="10" style="1" bestFit="1" customWidth="1"/>
    <col min="4373" max="4608" width="9" style="1"/>
    <col min="4609" max="4609" width="1.5" style="1" customWidth="1"/>
    <col min="4610" max="4610" width="2.125" style="1" customWidth="1"/>
    <col min="4611" max="4611" width="2.5" style="1" customWidth="1"/>
    <col min="4612" max="4612" width="1.625" style="1" customWidth="1"/>
    <col min="4613" max="4613" width="6.625" style="1" customWidth="1"/>
    <col min="4614" max="4614" width="7.625" style="1" customWidth="1"/>
    <col min="4615" max="4615" width="1.75" style="1" customWidth="1"/>
    <col min="4616" max="4616" width="12.25" style="1" customWidth="1"/>
    <col min="4617" max="4618" width="1.5" style="1" customWidth="1"/>
    <col min="4619" max="4619" width="12.25" style="1" customWidth="1"/>
    <col min="4620" max="4620" width="1.5" style="1" customWidth="1"/>
    <col min="4621" max="4621" width="13.25" style="1" customWidth="1"/>
    <col min="4622" max="4624" width="12.25" style="1" customWidth="1"/>
    <col min="4625" max="4625" width="10.25" style="1" bestFit="1" customWidth="1"/>
    <col min="4626" max="4626" width="9.25" style="1" bestFit="1" customWidth="1"/>
    <col min="4627" max="4627" width="10.5" style="1" bestFit="1" customWidth="1"/>
    <col min="4628" max="4628" width="10" style="1" bestFit="1" customWidth="1"/>
    <col min="4629" max="4864" width="9" style="1"/>
    <col min="4865" max="4865" width="1.5" style="1" customWidth="1"/>
    <col min="4866" max="4866" width="2.125" style="1" customWidth="1"/>
    <col min="4867" max="4867" width="2.5" style="1" customWidth="1"/>
    <col min="4868" max="4868" width="1.625" style="1" customWidth="1"/>
    <col min="4869" max="4869" width="6.625" style="1" customWidth="1"/>
    <col min="4870" max="4870" width="7.625" style="1" customWidth="1"/>
    <col min="4871" max="4871" width="1.75" style="1" customWidth="1"/>
    <col min="4872" max="4872" width="12.25" style="1" customWidth="1"/>
    <col min="4873" max="4874" width="1.5" style="1" customWidth="1"/>
    <col min="4875" max="4875" width="12.25" style="1" customWidth="1"/>
    <col min="4876" max="4876" width="1.5" style="1" customWidth="1"/>
    <col min="4877" max="4877" width="13.25" style="1" customWidth="1"/>
    <col min="4878" max="4880" width="12.25" style="1" customWidth="1"/>
    <col min="4881" max="4881" width="10.25" style="1" bestFit="1" customWidth="1"/>
    <col min="4882" max="4882" width="9.25" style="1" bestFit="1" customWidth="1"/>
    <col min="4883" max="4883" width="10.5" style="1" bestFit="1" customWidth="1"/>
    <col min="4884" max="4884" width="10" style="1" bestFit="1" customWidth="1"/>
    <col min="4885" max="5120" width="9" style="1"/>
    <col min="5121" max="5121" width="1.5" style="1" customWidth="1"/>
    <col min="5122" max="5122" width="2.125" style="1" customWidth="1"/>
    <col min="5123" max="5123" width="2.5" style="1" customWidth="1"/>
    <col min="5124" max="5124" width="1.625" style="1" customWidth="1"/>
    <col min="5125" max="5125" width="6.625" style="1" customWidth="1"/>
    <col min="5126" max="5126" width="7.625" style="1" customWidth="1"/>
    <col min="5127" max="5127" width="1.75" style="1" customWidth="1"/>
    <col min="5128" max="5128" width="12.25" style="1" customWidth="1"/>
    <col min="5129" max="5130" width="1.5" style="1" customWidth="1"/>
    <col min="5131" max="5131" width="12.25" style="1" customWidth="1"/>
    <col min="5132" max="5132" width="1.5" style="1" customWidth="1"/>
    <col min="5133" max="5133" width="13.25" style="1" customWidth="1"/>
    <col min="5134" max="5136" width="12.25" style="1" customWidth="1"/>
    <col min="5137" max="5137" width="10.25" style="1" bestFit="1" customWidth="1"/>
    <col min="5138" max="5138" width="9.25" style="1" bestFit="1" customWidth="1"/>
    <col min="5139" max="5139" width="10.5" style="1" bestFit="1" customWidth="1"/>
    <col min="5140" max="5140" width="10" style="1" bestFit="1" customWidth="1"/>
    <col min="5141" max="5376" width="9" style="1"/>
    <col min="5377" max="5377" width="1.5" style="1" customWidth="1"/>
    <col min="5378" max="5378" width="2.125" style="1" customWidth="1"/>
    <col min="5379" max="5379" width="2.5" style="1" customWidth="1"/>
    <col min="5380" max="5380" width="1.625" style="1" customWidth="1"/>
    <col min="5381" max="5381" width="6.625" style="1" customWidth="1"/>
    <col min="5382" max="5382" width="7.625" style="1" customWidth="1"/>
    <col min="5383" max="5383" width="1.75" style="1" customWidth="1"/>
    <col min="5384" max="5384" width="12.25" style="1" customWidth="1"/>
    <col min="5385" max="5386" width="1.5" style="1" customWidth="1"/>
    <col min="5387" max="5387" width="12.25" style="1" customWidth="1"/>
    <col min="5388" max="5388" width="1.5" style="1" customWidth="1"/>
    <col min="5389" max="5389" width="13.25" style="1" customWidth="1"/>
    <col min="5390" max="5392" width="12.25" style="1" customWidth="1"/>
    <col min="5393" max="5393" width="10.25" style="1" bestFit="1" customWidth="1"/>
    <col min="5394" max="5394" width="9.25" style="1" bestFit="1" customWidth="1"/>
    <col min="5395" max="5395" width="10.5" style="1" bestFit="1" customWidth="1"/>
    <col min="5396" max="5396" width="10" style="1" bestFit="1" customWidth="1"/>
    <col min="5397" max="5632" width="9" style="1"/>
    <col min="5633" max="5633" width="1.5" style="1" customWidth="1"/>
    <col min="5634" max="5634" width="2.125" style="1" customWidth="1"/>
    <col min="5635" max="5635" width="2.5" style="1" customWidth="1"/>
    <col min="5636" max="5636" width="1.625" style="1" customWidth="1"/>
    <col min="5637" max="5637" width="6.625" style="1" customWidth="1"/>
    <col min="5638" max="5638" width="7.625" style="1" customWidth="1"/>
    <col min="5639" max="5639" width="1.75" style="1" customWidth="1"/>
    <col min="5640" max="5640" width="12.25" style="1" customWidth="1"/>
    <col min="5641" max="5642" width="1.5" style="1" customWidth="1"/>
    <col min="5643" max="5643" width="12.25" style="1" customWidth="1"/>
    <col min="5644" max="5644" width="1.5" style="1" customWidth="1"/>
    <col min="5645" max="5645" width="13.25" style="1" customWidth="1"/>
    <col min="5646" max="5648" width="12.25" style="1" customWidth="1"/>
    <col min="5649" max="5649" width="10.25" style="1" bestFit="1" customWidth="1"/>
    <col min="5650" max="5650" width="9.25" style="1" bestFit="1" customWidth="1"/>
    <col min="5651" max="5651" width="10.5" style="1" bestFit="1" customWidth="1"/>
    <col min="5652" max="5652" width="10" style="1" bestFit="1" customWidth="1"/>
    <col min="5653" max="5888" width="9" style="1"/>
    <col min="5889" max="5889" width="1.5" style="1" customWidth="1"/>
    <col min="5890" max="5890" width="2.125" style="1" customWidth="1"/>
    <col min="5891" max="5891" width="2.5" style="1" customWidth="1"/>
    <col min="5892" max="5892" width="1.625" style="1" customWidth="1"/>
    <col min="5893" max="5893" width="6.625" style="1" customWidth="1"/>
    <col min="5894" max="5894" width="7.625" style="1" customWidth="1"/>
    <col min="5895" max="5895" width="1.75" style="1" customWidth="1"/>
    <col min="5896" max="5896" width="12.25" style="1" customWidth="1"/>
    <col min="5897" max="5898" width="1.5" style="1" customWidth="1"/>
    <col min="5899" max="5899" width="12.25" style="1" customWidth="1"/>
    <col min="5900" max="5900" width="1.5" style="1" customWidth="1"/>
    <col min="5901" max="5901" width="13.25" style="1" customWidth="1"/>
    <col min="5902" max="5904" width="12.25" style="1" customWidth="1"/>
    <col min="5905" max="5905" width="10.25" style="1" bestFit="1" customWidth="1"/>
    <col min="5906" max="5906" width="9.25" style="1" bestFit="1" customWidth="1"/>
    <col min="5907" max="5907" width="10.5" style="1" bestFit="1" customWidth="1"/>
    <col min="5908" max="5908" width="10" style="1" bestFit="1" customWidth="1"/>
    <col min="5909" max="6144" width="9" style="1"/>
    <col min="6145" max="6145" width="1.5" style="1" customWidth="1"/>
    <col min="6146" max="6146" width="2.125" style="1" customWidth="1"/>
    <col min="6147" max="6147" width="2.5" style="1" customWidth="1"/>
    <col min="6148" max="6148" width="1.625" style="1" customWidth="1"/>
    <col min="6149" max="6149" width="6.625" style="1" customWidth="1"/>
    <col min="6150" max="6150" width="7.625" style="1" customWidth="1"/>
    <col min="6151" max="6151" width="1.75" style="1" customWidth="1"/>
    <col min="6152" max="6152" width="12.25" style="1" customWidth="1"/>
    <col min="6153" max="6154" width="1.5" style="1" customWidth="1"/>
    <col min="6155" max="6155" width="12.25" style="1" customWidth="1"/>
    <col min="6156" max="6156" width="1.5" style="1" customWidth="1"/>
    <col min="6157" max="6157" width="13.25" style="1" customWidth="1"/>
    <col min="6158" max="6160" width="12.25" style="1" customWidth="1"/>
    <col min="6161" max="6161" width="10.25" style="1" bestFit="1" customWidth="1"/>
    <col min="6162" max="6162" width="9.25" style="1" bestFit="1" customWidth="1"/>
    <col min="6163" max="6163" width="10.5" style="1" bestFit="1" customWidth="1"/>
    <col min="6164" max="6164" width="10" style="1" bestFit="1" customWidth="1"/>
    <col min="6165" max="6400" width="9" style="1"/>
    <col min="6401" max="6401" width="1.5" style="1" customWidth="1"/>
    <col min="6402" max="6402" width="2.125" style="1" customWidth="1"/>
    <col min="6403" max="6403" width="2.5" style="1" customWidth="1"/>
    <col min="6404" max="6404" width="1.625" style="1" customWidth="1"/>
    <col min="6405" max="6405" width="6.625" style="1" customWidth="1"/>
    <col min="6406" max="6406" width="7.625" style="1" customWidth="1"/>
    <col min="6407" max="6407" width="1.75" style="1" customWidth="1"/>
    <col min="6408" max="6408" width="12.25" style="1" customWidth="1"/>
    <col min="6409" max="6410" width="1.5" style="1" customWidth="1"/>
    <col min="6411" max="6411" width="12.25" style="1" customWidth="1"/>
    <col min="6412" max="6412" width="1.5" style="1" customWidth="1"/>
    <col min="6413" max="6413" width="13.25" style="1" customWidth="1"/>
    <col min="6414" max="6416" width="12.25" style="1" customWidth="1"/>
    <col min="6417" max="6417" width="10.25" style="1" bestFit="1" customWidth="1"/>
    <col min="6418" max="6418" width="9.25" style="1" bestFit="1" customWidth="1"/>
    <col min="6419" max="6419" width="10.5" style="1" bestFit="1" customWidth="1"/>
    <col min="6420" max="6420" width="10" style="1" bestFit="1" customWidth="1"/>
    <col min="6421" max="6656" width="9" style="1"/>
    <col min="6657" max="6657" width="1.5" style="1" customWidth="1"/>
    <col min="6658" max="6658" width="2.125" style="1" customWidth="1"/>
    <col min="6659" max="6659" width="2.5" style="1" customWidth="1"/>
    <col min="6660" max="6660" width="1.625" style="1" customWidth="1"/>
    <col min="6661" max="6661" width="6.625" style="1" customWidth="1"/>
    <col min="6662" max="6662" width="7.625" style="1" customWidth="1"/>
    <col min="6663" max="6663" width="1.75" style="1" customWidth="1"/>
    <col min="6664" max="6664" width="12.25" style="1" customWidth="1"/>
    <col min="6665" max="6666" width="1.5" style="1" customWidth="1"/>
    <col min="6667" max="6667" width="12.25" style="1" customWidth="1"/>
    <col min="6668" max="6668" width="1.5" style="1" customWidth="1"/>
    <col min="6669" max="6669" width="13.25" style="1" customWidth="1"/>
    <col min="6670" max="6672" width="12.25" style="1" customWidth="1"/>
    <col min="6673" max="6673" width="10.25" style="1" bestFit="1" customWidth="1"/>
    <col min="6674" max="6674" width="9.25" style="1" bestFit="1" customWidth="1"/>
    <col min="6675" max="6675" width="10.5" style="1" bestFit="1" customWidth="1"/>
    <col min="6676" max="6676" width="10" style="1" bestFit="1" customWidth="1"/>
    <col min="6677" max="6912" width="9" style="1"/>
    <col min="6913" max="6913" width="1.5" style="1" customWidth="1"/>
    <col min="6914" max="6914" width="2.125" style="1" customWidth="1"/>
    <col min="6915" max="6915" width="2.5" style="1" customWidth="1"/>
    <col min="6916" max="6916" width="1.625" style="1" customWidth="1"/>
    <col min="6917" max="6917" width="6.625" style="1" customWidth="1"/>
    <col min="6918" max="6918" width="7.625" style="1" customWidth="1"/>
    <col min="6919" max="6919" width="1.75" style="1" customWidth="1"/>
    <col min="6920" max="6920" width="12.25" style="1" customWidth="1"/>
    <col min="6921" max="6922" width="1.5" style="1" customWidth="1"/>
    <col min="6923" max="6923" width="12.25" style="1" customWidth="1"/>
    <col min="6924" max="6924" width="1.5" style="1" customWidth="1"/>
    <col min="6925" max="6925" width="13.25" style="1" customWidth="1"/>
    <col min="6926" max="6928" width="12.25" style="1" customWidth="1"/>
    <col min="6929" max="6929" width="10.25" style="1" bestFit="1" customWidth="1"/>
    <col min="6930" max="6930" width="9.25" style="1" bestFit="1" customWidth="1"/>
    <col min="6931" max="6931" width="10.5" style="1" bestFit="1" customWidth="1"/>
    <col min="6932" max="6932" width="10" style="1" bestFit="1" customWidth="1"/>
    <col min="6933" max="7168" width="9" style="1"/>
    <col min="7169" max="7169" width="1.5" style="1" customWidth="1"/>
    <col min="7170" max="7170" width="2.125" style="1" customWidth="1"/>
    <col min="7171" max="7171" width="2.5" style="1" customWidth="1"/>
    <col min="7172" max="7172" width="1.625" style="1" customWidth="1"/>
    <col min="7173" max="7173" width="6.625" style="1" customWidth="1"/>
    <col min="7174" max="7174" width="7.625" style="1" customWidth="1"/>
    <col min="7175" max="7175" width="1.75" style="1" customWidth="1"/>
    <col min="7176" max="7176" width="12.25" style="1" customWidth="1"/>
    <col min="7177" max="7178" width="1.5" style="1" customWidth="1"/>
    <col min="7179" max="7179" width="12.25" style="1" customWidth="1"/>
    <col min="7180" max="7180" width="1.5" style="1" customWidth="1"/>
    <col min="7181" max="7181" width="13.25" style="1" customWidth="1"/>
    <col min="7182" max="7184" width="12.25" style="1" customWidth="1"/>
    <col min="7185" max="7185" width="10.25" style="1" bestFit="1" customWidth="1"/>
    <col min="7186" max="7186" width="9.25" style="1" bestFit="1" customWidth="1"/>
    <col min="7187" max="7187" width="10.5" style="1" bestFit="1" customWidth="1"/>
    <col min="7188" max="7188" width="10" style="1" bestFit="1" customWidth="1"/>
    <col min="7189" max="7424" width="9" style="1"/>
    <col min="7425" max="7425" width="1.5" style="1" customWidth="1"/>
    <col min="7426" max="7426" width="2.125" style="1" customWidth="1"/>
    <col min="7427" max="7427" width="2.5" style="1" customWidth="1"/>
    <col min="7428" max="7428" width="1.625" style="1" customWidth="1"/>
    <col min="7429" max="7429" width="6.625" style="1" customWidth="1"/>
    <col min="7430" max="7430" width="7.625" style="1" customWidth="1"/>
    <col min="7431" max="7431" width="1.75" style="1" customWidth="1"/>
    <col min="7432" max="7432" width="12.25" style="1" customWidth="1"/>
    <col min="7433" max="7434" width="1.5" style="1" customWidth="1"/>
    <col min="7435" max="7435" width="12.25" style="1" customWidth="1"/>
    <col min="7436" max="7436" width="1.5" style="1" customWidth="1"/>
    <col min="7437" max="7437" width="13.25" style="1" customWidth="1"/>
    <col min="7438" max="7440" width="12.25" style="1" customWidth="1"/>
    <col min="7441" max="7441" width="10.25" style="1" bestFit="1" customWidth="1"/>
    <col min="7442" max="7442" width="9.25" style="1" bestFit="1" customWidth="1"/>
    <col min="7443" max="7443" width="10.5" style="1" bestFit="1" customWidth="1"/>
    <col min="7444" max="7444" width="10" style="1" bestFit="1" customWidth="1"/>
    <col min="7445" max="7680" width="9" style="1"/>
    <col min="7681" max="7681" width="1.5" style="1" customWidth="1"/>
    <col min="7682" max="7682" width="2.125" style="1" customWidth="1"/>
    <col min="7683" max="7683" width="2.5" style="1" customWidth="1"/>
    <col min="7684" max="7684" width="1.625" style="1" customWidth="1"/>
    <col min="7685" max="7685" width="6.625" style="1" customWidth="1"/>
    <col min="7686" max="7686" width="7.625" style="1" customWidth="1"/>
    <col min="7687" max="7687" width="1.75" style="1" customWidth="1"/>
    <col min="7688" max="7688" width="12.25" style="1" customWidth="1"/>
    <col min="7689" max="7690" width="1.5" style="1" customWidth="1"/>
    <col min="7691" max="7691" width="12.25" style="1" customWidth="1"/>
    <col min="7692" max="7692" width="1.5" style="1" customWidth="1"/>
    <col min="7693" max="7693" width="13.25" style="1" customWidth="1"/>
    <col min="7694" max="7696" width="12.25" style="1" customWidth="1"/>
    <col min="7697" max="7697" width="10.25" style="1" bestFit="1" customWidth="1"/>
    <col min="7698" max="7698" width="9.25" style="1" bestFit="1" customWidth="1"/>
    <col min="7699" max="7699" width="10.5" style="1" bestFit="1" customWidth="1"/>
    <col min="7700" max="7700" width="10" style="1" bestFit="1" customWidth="1"/>
    <col min="7701" max="7936" width="9" style="1"/>
    <col min="7937" max="7937" width="1.5" style="1" customWidth="1"/>
    <col min="7938" max="7938" width="2.125" style="1" customWidth="1"/>
    <col min="7939" max="7939" width="2.5" style="1" customWidth="1"/>
    <col min="7940" max="7940" width="1.625" style="1" customWidth="1"/>
    <col min="7941" max="7941" width="6.625" style="1" customWidth="1"/>
    <col min="7942" max="7942" width="7.625" style="1" customWidth="1"/>
    <col min="7943" max="7943" width="1.75" style="1" customWidth="1"/>
    <col min="7944" max="7944" width="12.25" style="1" customWidth="1"/>
    <col min="7945" max="7946" width="1.5" style="1" customWidth="1"/>
    <col min="7947" max="7947" width="12.25" style="1" customWidth="1"/>
    <col min="7948" max="7948" width="1.5" style="1" customWidth="1"/>
    <col min="7949" max="7949" width="13.25" style="1" customWidth="1"/>
    <col min="7950" max="7952" width="12.25" style="1" customWidth="1"/>
    <col min="7953" max="7953" width="10.25" style="1" bestFit="1" customWidth="1"/>
    <col min="7954" max="7954" width="9.25" style="1" bestFit="1" customWidth="1"/>
    <col min="7955" max="7955" width="10.5" style="1" bestFit="1" customWidth="1"/>
    <col min="7956" max="7956" width="10" style="1" bestFit="1" customWidth="1"/>
    <col min="7957" max="8192" width="9" style="1"/>
    <col min="8193" max="8193" width="1.5" style="1" customWidth="1"/>
    <col min="8194" max="8194" width="2.125" style="1" customWidth="1"/>
    <col min="8195" max="8195" width="2.5" style="1" customWidth="1"/>
    <col min="8196" max="8196" width="1.625" style="1" customWidth="1"/>
    <col min="8197" max="8197" width="6.625" style="1" customWidth="1"/>
    <col min="8198" max="8198" width="7.625" style="1" customWidth="1"/>
    <col min="8199" max="8199" width="1.75" style="1" customWidth="1"/>
    <col min="8200" max="8200" width="12.25" style="1" customWidth="1"/>
    <col min="8201" max="8202" width="1.5" style="1" customWidth="1"/>
    <col min="8203" max="8203" width="12.25" style="1" customWidth="1"/>
    <col min="8204" max="8204" width="1.5" style="1" customWidth="1"/>
    <col min="8205" max="8205" width="13.25" style="1" customWidth="1"/>
    <col min="8206" max="8208" width="12.25" style="1" customWidth="1"/>
    <col min="8209" max="8209" width="10.25" style="1" bestFit="1" customWidth="1"/>
    <col min="8210" max="8210" width="9.25" style="1" bestFit="1" customWidth="1"/>
    <col min="8211" max="8211" width="10.5" style="1" bestFit="1" customWidth="1"/>
    <col min="8212" max="8212" width="10" style="1" bestFit="1" customWidth="1"/>
    <col min="8213" max="8448" width="9" style="1"/>
    <col min="8449" max="8449" width="1.5" style="1" customWidth="1"/>
    <col min="8450" max="8450" width="2.125" style="1" customWidth="1"/>
    <col min="8451" max="8451" width="2.5" style="1" customWidth="1"/>
    <col min="8452" max="8452" width="1.625" style="1" customWidth="1"/>
    <col min="8453" max="8453" width="6.625" style="1" customWidth="1"/>
    <col min="8454" max="8454" width="7.625" style="1" customWidth="1"/>
    <col min="8455" max="8455" width="1.75" style="1" customWidth="1"/>
    <col min="8456" max="8456" width="12.25" style="1" customWidth="1"/>
    <col min="8457" max="8458" width="1.5" style="1" customWidth="1"/>
    <col min="8459" max="8459" width="12.25" style="1" customWidth="1"/>
    <col min="8460" max="8460" width="1.5" style="1" customWidth="1"/>
    <col min="8461" max="8461" width="13.25" style="1" customWidth="1"/>
    <col min="8462" max="8464" width="12.25" style="1" customWidth="1"/>
    <col min="8465" max="8465" width="10.25" style="1" bestFit="1" customWidth="1"/>
    <col min="8466" max="8466" width="9.25" style="1" bestFit="1" customWidth="1"/>
    <col min="8467" max="8467" width="10.5" style="1" bestFit="1" customWidth="1"/>
    <col min="8468" max="8468" width="10" style="1" bestFit="1" customWidth="1"/>
    <col min="8469" max="8704" width="9" style="1"/>
    <col min="8705" max="8705" width="1.5" style="1" customWidth="1"/>
    <col min="8706" max="8706" width="2.125" style="1" customWidth="1"/>
    <col min="8707" max="8707" width="2.5" style="1" customWidth="1"/>
    <col min="8708" max="8708" width="1.625" style="1" customWidth="1"/>
    <col min="8709" max="8709" width="6.625" style="1" customWidth="1"/>
    <col min="8710" max="8710" width="7.625" style="1" customWidth="1"/>
    <col min="8711" max="8711" width="1.75" style="1" customWidth="1"/>
    <col min="8712" max="8712" width="12.25" style="1" customWidth="1"/>
    <col min="8713" max="8714" width="1.5" style="1" customWidth="1"/>
    <col min="8715" max="8715" width="12.25" style="1" customWidth="1"/>
    <col min="8716" max="8716" width="1.5" style="1" customWidth="1"/>
    <col min="8717" max="8717" width="13.25" style="1" customWidth="1"/>
    <col min="8718" max="8720" width="12.25" style="1" customWidth="1"/>
    <col min="8721" max="8721" width="10.25" style="1" bestFit="1" customWidth="1"/>
    <col min="8722" max="8722" width="9.25" style="1" bestFit="1" customWidth="1"/>
    <col min="8723" max="8723" width="10.5" style="1" bestFit="1" customWidth="1"/>
    <col min="8724" max="8724" width="10" style="1" bestFit="1" customWidth="1"/>
    <col min="8725" max="8960" width="9" style="1"/>
    <col min="8961" max="8961" width="1.5" style="1" customWidth="1"/>
    <col min="8962" max="8962" width="2.125" style="1" customWidth="1"/>
    <col min="8963" max="8963" width="2.5" style="1" customWidth="1"/>
    <col min="8964" max="8964" width="1.625" style="1" customWidth="1"/>
    <col min="8965" max="8965" width="6.625" style="1" customWidth="1"/>
    <col min="8966" max="8966" width="7.625" style="1" customWidth="1"/>
    <col min="8967" max="8967" width="1.75" style="1" customWidth="1"/>
    <col min="8968" max="8968" width="12.25" style="1" customWidth="1"/>
    <col min="8969" max="8970" width="1.5" style="1" customWidth="1"/>
    <col min="8971" max="8971" width="12.25" style="1" customWidth="1"/>
    <col min="8972" max="8972" width="1.5" style="1" customWidth="1"/>
    <col min="8973" max="8973" width="13.25" style="1" customWidth="1"/>
    <col min="8974" max="8976" width="12.25" style="1" customWidth="1"/>
    <col min="8977" max="8977" width="10.25" style="1" bestFit="1" customWidth="1"/>
    <col min="8978" max="8978" width="9.25" style="1" bestFit="1" customWidth="1"/>
    <col min="8979" max="8979" width="10.5" style="1" bestFit="1" customWidth="1"/>
    <col min="8980" max="8980" width="10" style="1" bestFit="1" customWidth="1"/>
    <col min="8981" max="9216" width="9" style="1"/>
    <col min="9217" max="9217" width="1.5" style="1" customWidth="1"/>
    <col min="9218" max="9218" width="2.125" style="1" customWidth="1"/>
    <col min="9219" max="9219" width="2.5" style="1" customWidth="1"/>
    <col min="9220" max="9220" width="1.625" style="1" customWidth="1"/>
    <col min="9221" max="9221" width="6.625" style="1" customWidth="1"/>
    <col min="9222" max="9222" width="7.625" style="1" customWidth="1"/>
    <col min="9223" max="9223" width="1.75" style="1" customWidth="1"/>
    <col min="9224" max="9224" width="12.25" style="1" customWidth="1"/>
    <col min="9225" max="9226" width="1.5" style="1" customWidth="1"/>
    <col min="9227" max="9227" width="12.25" style="1" customWidth="1"/>
    <col min="9228" max="9228" width="1.5" style="1" customWidth="1"/>
    <col min="9229" max="9229" width="13.25" style="1" customWidth="1"/>
    <col min="9230" max="9232" width="12.25" style="1" customWidth="1"/>
    <col min="9233" max="9233" width="10.25" style="1" bestFit="1" customWidth="1"/>
    <col min="9234" max="9234" width="9.25" style="1" bestFit="1" customWidth="1"/>
    <col min="9235" max="9235" width="10.5" style="1" bestFit="1" customWidth="1"/>
    <col min="9236" max="9236" width="10" style="1" bestFit="1" customWidth="1"/>
    <col min="9237" max="9472" width="9" style="1"/>
    <col min="9473" max="9473" width="1.5" style="1" customWidth="1"/>
    <col min="9474" max="9474" width="2.125" style="1" customWidth="1"/>
    <col min="9475" max="9475" width="2.5" style="1" customWidth="1"/>
    <col min="9476" max="9476" width="1.625" style="1" customWidth="1"/>
    <col min="9477" max="9477" width="6.625" style="1" customWidth="1"/>
    <col min="9478" max="9478" width="7.625" style="1" customWidth="1"/>
    <col min="9479" max="9479" width="1.75" style="1" customWidth="1"/>
    <col min="9480" max="9480" width="12.25" style="1" customWidth="1"/>
    <col min="9481" max="9482" width="1.5" style="1" customWidth="1"/>
    <col min="9483" max="9483" width="12.25" style="1" customWidth="1"/>
    <col min="9484" max="9484" width="1.5" style="1" customWidth="1"/>
    <col min="9485" max="9485" width="13.25" style="1" customWidth="1"/>
    <col min="9486" max="9488" width="12.25" style="1" customWidth="1"/>
    <col min="9489" max="9489" width="10.25" style="1" bestFit="1" customWidth="1"/>
    <col min="9490" max="9490" width="9.25" style="1" bestFit="1" customWidth="1"/>
    <col min="9491" max="9491" width="10.5" style="1" bestFit="1" customWidth="1"/>
    <col min="9492" max="9492" width="10" style="1" bestFit="1" customWidth="1"/>
    <col min="9493" max="9728" width="9" style="1"/>
    <col min="9729" max="9729" width="1.5" style="1" customWidth="1"/>
    <col min="9730" max="9730" width="2.125" style="1" customWidth="1"/>
    <col min="9731" max="9731" width="2.5" style="1" customWidth="1"/>
    <col min="9732" max="9732" width="1.625" style="1" customWidth="1"/>
    <col min="9733" max="9733" width="6.625" style="1" customWidth="1"/>
    <col min="9734" max="9734" width="7.625" style="1" customWidth="1"/>
    <col min="9735" max="9735" width="1.75" style="1" customWidth="1"/>
    <col min="9736" max="9736" width="12.25" style="1" customWidth="1"/>
    <col min="9737" max="9738" width="1.5" style="1" customWidth="1"/>
    <col min="9739" max="9739" width="12.25" style="1" customWidth="1"/>
    <col min="9740" max="9740" width="1.5" style="1" customWidth="1"/>
    <col min="9741" max="9741" width="13.25" style="1" customWidth="1"/>
    <col min="9742" max="9744" width="12.25" style="1" customWidth="1"/>
    <col min="9745" max="9745" width="10.25" style="1" bestFit="1" customWidth="1"/>
    <col min="9746" max="9746" width="9.25" style="1" bestFit="1" customWidth="1"/>
    <col min="9747" max="9747" width="10.5" style="1" bestFit="1" customWidth="1"/>
    <col min="9748" max="9748" width="10" style="1" bestFit="1" customWidth="1"/>
    <col min="9749" max="9984" width="9" style="1"/>
    <col min="9985" max="9985" width="1.5" style="1" customWidth="1"/>
    <col min="9986" max="9986" width="2.125" style="1" customWidth="1"/>
    <col min="9987" max="9987" width="2.5" style="1" customWidth="1"/>
    <col min="9988" max="9988" width="1.625" style="1" customWidth="1"/>
    <col min="9989" max="9989" width="6.625" style="1" customWidth="1"/>
    <col min="9990" max="9990" width="7.625" style="1" customWidth="1"/>
    <col min="9991" max="9991" width="1.75" style="1" customWidth="1"/>
    <col min="9992" max="9992" width="12.25" style="1" customWidth="1"/>
    <col min="9993" max="9994" width="1.5" style="1" customWidth="1"/>
    <col min="9995" max="9995" width="12.25" style="1" customWidth="1"/>
    <col min="9996" max="9996" width="1.5" style="1" customWidth="1"/>
    <col min="9997" max="9997" width="13.25" style="1" customWidth="1"/>
    <col min="9998" max="10000" width="12.25" style="1" customWidth="1"/>
    <col min="10001" max="10001" width="10.25" style="1" bestFit="1" customWidth="1"/>
    <col min="10002" max="10002" width="9.25" style="1" bestFit="1" customWidth="1"/>
    <col min="10003" max="10003" width="10.5" style="1" bestFit="1" customWidth="1"/>
    <col min="10004" max="10004" width="10" style="1" bestFit="1" customWidth="1"/>
    <col min="10005" max="10240" width="9" style="1"/>
    <col min="10241" max="10241" width="1.5" style="1" customWidth="1"/>
    <col min="10242" max="10242" width="2.125" style="1" customWidth="1"/>
    <col min="10243" max="10243" width="2.5" style="1" customWidth="1"/>
    <col min="10244" max="10244" width="1.625" style="1" customWidth="1"/>
    <col min="10245" max="10245" width="6.625" style="1" customWidth="1"/>
    <col min="10246" max="10246" width="7.625" style="1" customWidth="1"/>
    <col min="10247" max="10247" width="1.75" style="1" customWidth="1"/>
    <col min="10248" max="10248" width="12.25" style="1" customWidth="1"/>
    <col min="10249" max="10250" width="1.5" style="1" customWidth="1"/>
    <col min="10251" max="10251" width="12.25" style="1" customWidth="1"/>
    <col min="10252" max="10252" width="1.5" style="1" customWidth="1"/>
    <col min="10253" max="10253" width="13.25" style="1" customWidth="1"/>
    <col min="10254" max="10256" width="12.25" style="1" customWidth="1"/>
    <col min="10257" max="10257" width="10.25" style="1" bestFit="1" customWidth="1"/>
    <col min="10258" max="10258" width="9.25" style="1" bestFit="1" customWidth="1"/>
    <col min="10259" max="10259" width="10.5" style="1" bestFit="1" customWidth="1"/>
    <col min="10260" max="10260" width="10" style="1" bestFit="1" customWidth="1"/>
    <col min="10261" max="10496" width="9" style="1"/>
    <col min="10497" max="10497" width="1.5" style="1" customWidth="1"/>
    <col min="10498" max="10498" width="2.125" style="1" customWidth="1"/>
    <col min="10499" max="10499" width="2.5" style="1" customWidth="1"/>
    <col min="10500" max="10500" width="1.625" style="1" customWidth="1"/>
    <col min="10501" max="10501" width="6.625" style="1" customWidth="1"/>
    <col min="10502" max="10502" width="7.625" style="1" customWidth="1"/>
    <col min="10503" max="10503" width="1.75" style="1" customWidth="1"/>
    <col min="10504" max="10504" width="12.25" style="1" customWidth="1"/>
    <col min="10505" max="10506" width="1.5" style="1" customWidth="1"/>
    <col min="10507" max="10507" width="12.25" style="1" customWidth="1"/>
    <col min="10508" max="10508" width="1.5" style="1" customWidth="1"/>
    <col min="10509" max="10509" width="13.25" style="1" customWidth="1"/>
    <col min="10510" max="10512" width="12.25" style="1" customWidth="1"/>
    <col min="10513" max="10513" width="10.25" style="1" bestFit="1" customWidth="1"/>
    <col min="10514" max="10514" width="9.25" style="1" bestFit="1" customWidth="1"/>
    <col min="10515" max="10515" width="10.5" style="1" bestFit="1" customWidth="1"/>
    <col min="10516" max="10516" width="10" style="1" bestFit="1" customWidth="1"/>
    <col min="10517" max="10752" width="9" style="1"/>
    <col min="10753" max="10753" width="1.5" style="1" customWidth="1"/>
    <col min="10754" max="10754" width="2.125" style="1" customWidth="1"/>
    <col min="10755" max="10755" width="2.5" style="1" customWidth="1"/>
    <col min="10756" max="10756" width="1.625" style="1" customWidth="1"/>
    <col min="10757" max="10757" width="6.625" style="1" customWidth="1"/>
    <col min="10758" max="10758" width="7.625" style="1" customWidth="1"/>
    <col min="10759" max="10759" width="1.75" style="1" customWidth="1"/>
    <col min="10760" max="10760" width="12.25" style="1" customWidth="1"/>
    <col min="10761" max="10762" width="1.5" style="1" customWidth="1"/>
    <col min="10763" max="10763" width="12.25" style="1" customWidth="1"/>
    <col min="10764" max="10764" width="1.5" style="1" customWidth="1"/>
    <col min="10765" max="10765" width="13.25" style="1" customWidth="1"/>
    <col min="10766" max="10768" width="12.25" style="1" customWidth="1"/>
    <col min="10769" max="10769" width="10.25" style="1" bestFit="1" customWidth="1"/>
    <col min="10770" max="10770" width="9.25" style="1" bestFit="1" customWidth="1"/>
    <col min="10771" max="10771" width="10.5" style="1" bestFit="1" customWidth="1"/>
    <col min="10772" max="10772" width="10" style="1" bestFit="1" customWidth="1"/>
    <col min="10773" max="11008" width="9" style="1"/>
    <col min="11009" max="11009" width="1.5" style="1" customWidth="1"/>
    <col min="11010" max="11010" width="2.125" style="1" customWidth="1"/>
    <col min="11011" max="11011" width="2.5" style="1" customWidth="1"/>
    <col min="11012" max="11012" width="1.625" style="1" customWidth="1"/>
    <col min="11013" max="11013" width="6.625" style="1" customWidth="1"/>
    <col min="11014" max="11014" width="7.625" style="1" customWidth="1"/>
    <col min="11015" max="11015" width="1.75" style="1" customWidth="1"/>
    <col min="11016" max="11016" width="12.25" style="1" customWidth="1"/>
    <col min="11017" max="11018" width="1.5" style="1" customWidth="1"/>
    <col min="11019" max="11019" width="12.25" style="1" customWidth="1"/>
    <col min="11020" max="11020" width="1.5" style="1" customWidth="1"/>
    <col min="11021" max="11021" width="13.25" style="1" customWidth="1"/>
    <col min="11022" max="11024" width="12.25" style="1" customWidth="1"/>
    <col min="11025" max="11025" width="10.25" style="1" bestFit="1" customWidth="1"/>
    <col min="11026" max="11026" width="9.25" style="1" bestFit="1" customWidth="1"/>
    <col min="11027" max="11027" width="10.5" style="1" bestFit="1" customWidth="1"/>
    <col min="11028" max="11028" width="10" style="1" bestFit="1" customWidth="1"/>
    <col min="11029" max="11264" width="9" style="1"/>
    <col min="11265" max="11265" width="1.5" style="1" customWidth="1"/>
    <col min="11266" max="11266" width="2.125" style="1" customWidth="1"/>
    <col min="11267" max="11267" width="2.5" style="1" customWidth="1"/>
    <col min="11268" max="11268" width="1.625" style="1" customWidth="1"/>
    <col min="11269" max="11269" width="6.625" style="1" customWidth="1"/>
    <col min="11270" max="11270" width="7.625" style="1" customWidth="1"/>
    <col min="11271" max="11271" width="1.75" style="1" customWidth="1"/>
    <col min="11272" max="11272" width="12.25" style="1" customWidth="1"/>
    <col min="11273" max="11274" width="1.5" style="1" customWidth="1"/>
    <col min="11275" max="11275" width="12.25" style="1" customWidth="1"/>
    <col min="11276" max="11276" width="1.5" style="1" customWidth="1"/>
    <col min="11277" max="11277" width="13.25" style="1" customWidth="1"/>
    <col min="11278" max="11280" width="12.25" style="1" customWidth="1"/>
    <col min="11281" max="11281" width="10.25" style="1" bestFit="1" customWidth="1"/>
    <col min="11282" max="11282" width="9.25" style="1" bestFit="1" customWidth="1"/>
    <col min="11283" max="11283" width="10.5" style="1" bestFit="1" customWidth="1"/>
    <col min="11284" max="11284" width="10" style="1" bestFit="1" customWidth="1"/>
    <col min="11285" max="11520" width="9" style="1"/>
    <col min="11521" max="11521" width="1.5" style="1" customWidth="1"/>
    <col min="11522" max="11522" width="2.125" style="1" customWidth="1"/>
    <col min="11523" max="11523" width="2.5" style="1" customWidth="1"/>
    <col min="11524" max="11524" width="1.625" style="1" customWidth="1"/>
    <col min="11525" max="11525" width="6.625" style="1" customWidth="1"/>
    <col min="11526" max="11526" width="7.625" style="1" customWidth="1"/>
    <col min="11527" max="11527" width="1.75" style="1" customWidth="1"/>
    <col min="11528" max="11528" width="12.25" style="1" customWidth="1"/>
    <col min="11529" max="11530" width="1.5" style="1" customWidth="1"/>
    <col min="11531" max="11531" width="12.25" style="1" customWidth="1"/>
    <col min="11532" max="11532" width="1.5" style="1" customWidth="1"/>
    <col min="11533" max="11533" width="13.25" style="1" customWidth="1"/>
    <col min="11534" max="11536" width="12.25" style="1" customWidth="1"/>
    <col min="11537" max="11537" width="10.25" style="1" bestFit="1" customWidth="1"/>
    <col min="11538" max="11538" width="9.25" style="1" bestFit="1" customWidth="1"/>
    <col min="11539" max="11539" width="10.5" style="1" bestFit="1" customWidth="1"/>
    <col min="11540" max="11540" width="10" style="1" bestFit="1" customWidth="1"/>
    <col min="11541" max="11776" width="9" style="1"/>
    <col min="11777" max="11777" width="1.5" style="1" customWidth="1"/>
    <col min="11778" max="11778" width="2.125" style="1" customWidth="1"/>
    <col min="11779" max="11779" width="2.5" style="1" customWidth="1"/>
    <col min="11780" max="11780" width="1.625" style="1" customWidth="1"/>
    <col min="11781" max="11781" width="6.625" style="1" customWidth="1"/>
    <col min="11782" max="11782" width="7.625" style="1" customWidth="1"/>
    <col min="11783" max="11783" width="1.75" style="1" customWidth="1"/>
    <col min="11784" max="11784" width="12.25" style="1" customWidth="1"/>
    <col min="11785" max="11786" width="1.5" style="1" customWidth="1"/>
    <col min="11787" max="11787" width="12.25" style="1" customWidth="1"/>
    <col min="11788" max="11788" width="1.5" style="1" customWidth="1"/>
    <col min="11789" max="11789" width="13.25" style="1" customWidth="1"/>
    <col min="11790" max="11792" width="12.25" style="1" customWidth="1"/>
    <col min="11793" max="11793" width="10.25" style="1" bestFit="1" customWidth="1"/>
    <col min="11794" max="11794" width="9.25" style="1" bestFit="1" customWidth="1"/>
    <col min="11795" max="11795" width="10.5" style="1" bestFit="1" customWidth="1"/>
    <col min="11796" max="11796" width="10" style="1" bestFit="1" customWidth="1"/>
    <col min="11797" max="12032" width="9" style="1"/>
    <col min="12033" max="12033" width="1.5" style="1" customWidth="1"/>
    <col min="12034" max="12034" width="2.125" style="1" customWidth="1"/>
    <col min="12035" max="12035" width="2.5" style="1" customWidth="1"/>
    <col min="12036" max="12036" width="1.625" style="1" customWidth="1"/>
    <col min="12037" max="12037" width="6.625" style="1" customWidth="1"/>
    <col min="12038" max="12038" width="7.625" style="1" customWidth="1"/>
    <col min="12039" max="12039" width="1.75" style="1" customWidth="1"/>
    <col min="12040" max="12040" width="12.25" style="1" customWidth="1"/>
    <col min="12041" max="12042" width="1.5" style="1" customWidth="1"/>
    <col min="12043" max="12043" width="12.25" style="1" customWidth="1"/>
    <col min="12044" max="12044" width="1.5" style="1" customWidth="1"/>
    <col min="12045" max="12045" width="13.25" style="1" customWidth="1"/>
    <col min="12046" max="12048" width="12.25" style="1" customWidth="1"/>
    <col min="12049" max="12049" width="10.25" style="1" bestFit="1" customWidth="1"/>
    <col min="12050" max="12050" width="9.25" style="1" bestFit="1" customWidth="1"/>
    <col min="12051" max="12051" width="10.5" style="1" bestFit="1" customWidth="1"/>
    <col min="12052" max="12052" width="10" style="1" bestFit="1" customWidth="1"/>
    <col min="12053" max="12288" width="9" style="1"/>
    <col min="12289" max="12289" width="1.5" style="1" customWidth="1"/>
    <col min="12290" max="12290" width="2.125" style="1" customWidth="1"/>
    <col min="12291" max="12291" width="2.5" style="1" customWidth="1"/>
    <col min="12292" max="12292" width="1.625" style="1" customWidth="1"/>
    <col min="12293" max="12293" width="6.625" style="1" customWidth="1"/>
    <col min="12294" max="12294" width="7.625" style="1" customWidth="1"/>
    <col min="12295" max="12295" width="1.75" style="1" customWidth="1"/>
    <col min="12296" max="12296" width="12.25" style="1" customWidth="1"/>
    <col min="12297" max="12298" width="1.5" style="1" customWidth="1"/>
    <col min="12299" max="12299" width="12.25" style="1" customWidth="1"/>
    <col min="12300" max="12300" width="1.5" style="1" customWidth="1"/>
    <col min="12301" max="12301" width="13.25" style="1" customWidth="1"/>
    <col min="12302" max="12304" width="12.25" style="1" customWidth="1"/>
    <col min="12305" max="12305" width="10.25" style="1" bestFit="1" customWidth="1"/>
    <col min="12306" max="12306" width="9.25" style="1" bestFit="1" customWidth="1"/>
    <col min="12307" max="12307" width="10.5" style="1" bestFit="1" customWidth="1"/>
    <col min="12308" max="12308" width="10" style="1" bestFit="1" customWidth="1"/>
    <col min="12309" max="12544" width="9" style="1"/>
    <col min="12545" max="12545" width="1.5" style="1" customWidth="1"/>
    <col min="12546" max="12546" width="2.125" style="1" customWidth="1"/>
    <col min="12547" max="12547" width="2.5" style="1" customWidth="1"/>
    <col min="12548" max="12548" width="1.625" style="1" customWidth="1"/>
    <col min="12549" max="12549" width="6.625" style="1" customWidth="1"/>
    <col min="12550" max="12550" width="7.625" style="1" customWidth="1"/>
    <col min="12551" max="12551" width="1.75" style="1" customWidth="1"/>
    <col min="12552" max="12552" width="12.25" style="1" customWidth="1"/>
    <col min="12553" max="12554" width="1.5" style="1" customWidth="1"/>
    <col min="12555" max="12555" width="12.25" style="1" customWidth="1"/>
    <col min="12556" max="12556" width="1.5" style="1" customWidth="1"/>
    <col min="12557" max="12557" width="13.25" style="1" customWidth="1"/>
    <col min="12558" max="12560" width="12.25" style="1" customWidth="1"/>
    <col min="12561" max="12561" width="10.25" style="1" bestFit="1" customWidth="1"/>
    <col min="12562" max="12562" width="9.25" style="1" bestFit="1" customWidth="1"/>
    <col min="12563" max="12563" width="10.5" style="1" bestFit="1" customWidth="1"/>
    <col min="12564" max="12564" width="10" style="1" bestFit="1" customWidth="1"/>
    <col min="12565" max="12800" width="9" style="1"/>
    <col min="12801" max="12801" width="1.5" style="1" customWidth="1"/>
    <col min="12802" max="12802" width="2.125" style="1" customWidth="1"/>
    <col min="12803" max="12803" width="2.5" style="1" customWidth="1"/>
    <col min="12804" max="12804" width="1.625" style="1" customWidth="1"/>
    <col min="12805" max="12805" width="6.625" style="1" customWidth="1"/>
    <col min="12806" max="12806" width="7.625" style="1" customWidth="1"/>
    <col min="12807" max="12807" width="1.75" style="1" customWidth="1"/>
    <col min="12808" max="12808" width="12.25" style="1" customWidth="1"/>
    <col min="12809" max="12810" width="1.5" style="1" customWidth="1"/>
    <col min="12811" max="12811" width="12.25" style="1" customWidth="1"/>
    <col min="12812" max="12812" width="1.5" style="1" customWidth="1"/>
    <col min="12813" max="12813" width="13.25" style="1" customWidth="1"/>
    <col min="12814" max="12816" width="12.25" style="1" customWidth="1"/>
    <col min="12817" max="12817" width="10.25" style="1" bestFit="1" customWidth="1"/>
    <col min="12818" max="12818" width="9.25" style="1" bestFit="1" customWidth="1"/>
    <col min="12819" max="12819" width="10.5" style="1" bestFit="1" customWidth="1"/>
    <col min="12820" max="12820" width="10" style="1" bestFit="1" customWidth="1"/>
    <col min="12821" max="13056" width="9" style="1"/>
    <col min="13057" max="13057" width="1.5" style="1" customWidth="1"/>
    <col min="13058" max="13058" width="2.125" style="1" customWidth="1"/>
    <col min="13059" max="13059" width="2.5" style="1" customWidth="1"/>
    <col min="13060" max="13060" width="1.625" style="1" customWidth="1"/>
    <col min="13061" max="13061" width="6.625" style="1" customWidth="1"/>
    <col min="13062" max="13062" width="7.625" style="1" customWidth="1"/>
    <col min="13063" max="13063" width="1.75" style="1" customWidth="1"/>
    <col min="13064" max="13064" width="12.25" style="1" customWidth="1"/>
    <col min="13065" max="13066" width="1.5" style="1" customWidth="1"/>
    <col min="13067" max="13067" width="12.25" style="1" customWidth="1"/>
    <col min="13068" max="13068" width="1.5" style="1" customWidth="1"/>
    <col min="13069" max="13069" width="13.25" style="1" customWidth="1"/>
    <col min="13070" max="13072" width="12.25" style="1" customWidth="1"/>
    <col min="13073" max="13073" width="10.25" style="1" bestFit="1" customWidth="1"/>
    <col min="13074" max="13074" width="9.25" style="1" bestFit="1" customWidth="1"/>
    <col min="13075" max="13075" width="10.5" style="1" bestFit="1" customWidth="1"/>
    <col min="13076" max="13076" width="10" style="1" bestFit="1" customWidth="1"/>
    <col min="13077" max="13312" width="9" style="1"/>
    <col min="13313" max="13313" width="1.5" style="1" customWidth="1"/>
    <col min="13314" max="13314" width="2.125" style="1" customWidth="1"/>
    <col min="13315" max="13315" width="2.5" style="1" customWidth="1"/>
    <col min="13316" max="13316" width="1.625" style="1" customWidth="1"/>
    <col min="13317" max="13317" width="6.625" style="1" customWidth="1"/>
    <col min="13318" max="13318" width="7.625" style="1" customWidth="1"/>
    <col min="13319" max="13319" width="1.75" style="1" customWidth="1"/>
    <col min="13320" max="13320" width="12.25" style="1" customWidth="1"/>
    <col min="13321" max="13322" width="1.5" style="1" customWidth="1"/>
    <col min="13323" max="13323" width="12.25" style="1" customWidth="1"/>
    <col min="13324" max="13324" width="1.5" style="1" customWidth="1"/>
    <col min="13325" max="13325" width="13.25" style="1" customWidth="1"/>
    <col min="13326" max="13328" width="12.25" style="1" customWidth="1"/>
    <col min="13329" max="13329" width="10.25" style="1" bestFit="1" customWidth="1"/>
    <col min="13330" max="13330" width="9.25" style="1" bestFit="1" customWidth="1"/>
    <col min="13331" max="13331" width="10.5" style="1" bestFit="1" customWidth="1"/>
    <col min="13332" max="13332" width="10" style="1" bestFit="1" customWidth="1"/>
    <col min="13333" max="13568" width="9" style="1"/>
    <col min="13569" max="13569" width="1.5" style="1" customWidth="1"/>
    <col min="13570" max="13570" width="2.125" style="1" customWidth="1"/>
    <col min="13571" max="13571" width="2.5" style="1" customWidth="1"/>
    <col min="13572" max="13572" width="1.625" style="1" customWidth="1"/>
    <col min="13573" max="13573" width="6.625" style="1" customWidth="1"/>
    <col min="13574" max="13574" width="7.625" style="1" customWidth="1"/>
    <col min="13575" max="13575" width="1.75" style="1" customWidth="1"/>
    <col min="13576" max="13576" width="12.25" style="1" customWidth="1"/>
    <col min="13577" max="13578" width="1.5" style="1" customWidth="1"/>
    <col min="13579" max="13579" width="12.25" style="1" customWidth="1"/>
    <col min="13580" max="13580" width="1.5" style="1" customWidth="1"/>
    <col min="13581" max="13581" width="13.25" style="1" customWidth="1"/>
    <col min="13582" max="13584" width="12.25" style="1" customWidth="1"/>
    <col min="13585" max="13585" width="10.25" style="1" bestFit="1" customWidth="1"/>
    <col min="13586" max="13586" width="9.25" style="1" bestFit="1" customWidth="1"/>
    <col min="13587" max="13587" width="10.5" style="1" bestFit="1" customWidth="1"/>
    <col min="13588" max="13588" width="10" style="1" bestFit="1" customWidth="1"/>
    <col min="13589" max="13824" width="9" style="1"/>
    <col min="13825" max="13825" width="1.5" style="1" customWidth="1"/>
    <col min="13826" max="13826" width="2.125" style="1" customWidth="1"/>
    <col min="13827" max="13827" width="2.5" style="1" customWidth="1"/>
    <col min="13828" max="13828" width="1.625" style="1" customWidth="1"/>
    <col min="13829" max="13829" width="6.625" style="1" customWidth="1"/>
    <col min="13830" max="13830" width="7.625" style="1" customWidth="1"/>
    <col min="13831" max="13831" width="1.75" style="1" customWidth="1"/>
    <col min="13832" max="13832" width="12.25" style="1" customWidth="1"/>
    <col min="13833" max="13834" width="1.5" style="1" customWidth="1"/>
    <col min="13835" max="13835" width="12.25" style="1" customWidth="1"/>
    <col min="13836" max="13836" width="1.5" style="1" customWidth="1"/>
    <col min="13837" max="13837" width="13.25" style="1" customWidth="1"/>
    <col min="13838" max="13840" width="12.25" style="1" customWidth="1"/>
    <col min="13841" max="13841" width="10.25" style="1" bestFit="1" customWidth="1"/>
    <col min="13842" max="13842" width="9.25" style="1" bestFit="1" customWidth="1"/>
    <col min="13843" max="13843" width="10.5" style="1" bestFit="1" customWidth="1"/>
    <col min="13844" max="13844" width="10" style="1" bestFit="1" customWidth="1"/>
    <col min="13845" max="14080" width="9" style="1"/>
    <col min="14081" max="14081" width="1.5" style="1" customWidth="1"/>
    <col min="14082" max="14082" width="2.125" style="1" customWidth="1"/>
    <col min="14083" max="14083" width="2.5" style="1" customWidth="1"/>
    <col min="14084" max="14084" width="1.625" style="1" customWidth="1"/>
    <col min="14085" max="14085" width="6.625" style="1" customWidth="1"/>
    <col min="14086" max="14086" width="7.625" style="1" customWidth="1"/>
    <col min="14087" max="14087" width="1.75" style="1" customWidth="1"/>
    <col min="14088" max="14088" width="12.25" style="1" customWidth="1"/>
    <col min="14089" max="14090" width="1.5" style="1" customWidth="1"/>
    <col min="14091" max="14091" width="12.25" style="1" customWidth="1"/>
    <col min="14092" max="14092" width="1.5" style="1" customWidth="1"/>
    <col min="14093" max="14093" width="13.25" style="1" customWidth="1"/>
    <col min="14094" max="14096" width="12.25" style="1" customWidth="1"/>
    <col min="14097" max="14097" width="10.25" style="1" bestFit="1" customWidth="1"/>
    <col min="14098" max="14098" width="9.25" style="1" bestFit="1" customWidth="1"/>
    <col min="14099" max="14099" width="10.5" style="1" bestFit="1" customWidth="1"/>
    <col min="14100" max="14100" width="10" style="1" bestFit="1" customWidth="1"/>
    <col min="14101" max="14336" width="9" style="1"/>
    <col min="14337" max="14337" width="1.5" style="1" customWidth="1"/>
    <col min="14338" max="14338" width="2.125" style="1" customWidth="1"/>
    <col min="14339" max="14339" width="2.5" style="1" customWidth="1"/>
    <col min="14340" max="14340" width="1.625" style="1" customWidth="1"/>
    <col min="14341" max="14341" width="6.625" style="1" customWidth="1"/>
    <col min="14342" max="14342" width="7.625" style="1" customWidth="1"/>
    <col min="14343" max="14343" width="1.75" style="1" customWidth="1"/>
    <col min="14344" max="14344" width="12.25" style="1" customWidth="1"/>
    <col min="14345" max="14346" width="1.5" style="1" customWidth="1"/>
    <col min="14347" max="14347" width="12.25" style="1" customWidth="1"/>
    <col min="14348" max="14348" width="1.5" style="1" customWidth="1"/>
    <col min="14349" max="14349" width="13.25" style="1" customWidth="1"/>
    <col min="14350" max="14352" width="12.25" style="1" customWidth="1"/>
    <col min="14353" max="14353" width="10.25" style="1" bestFit="1" customWidth="1"/>
    <col min="14354" max="14354" width="9.25" style="1" bestFit="1" customWidth="1"/>
    <col min="14355" max="14355" width="10.5" style="1" bestFit="1" customWidth="1"/>
    <col min="14356" max="14356" width="10" style="1" bestFit="1" customWidth="1"/>
    <col min="14357" max="14592" width="9" style="1"/>
    <col min="14593" max="14593" width="1.5" style="1" customWidth="1"/>
    <col min="14594" max="14594" width="2.125" style="1" customWidth="1"/>
    <col min="14595" max="14595" width="2.5" style="1" customWidth="1"/>
    <col min="14596" max="14596" width="1.625" style="1" customWidth="1"/>
    <col min="14597" max="14597" width="6.625" style="1" customWidth="1"/>
    <col min="14598" max="14598" width="7.625" style="1" customWidth="1"/>
    <col min="14599" max="14599" width="1.75" style="1" customWidth="1"/>
    <col min="14600" max="14600" width="12.25" style="1" customWidth="1"/>
    <col min="14601" max="14602" width="1.5" style="1" customWidth="1"/>
    <col min="14603" max="14603" width="12.25" style="1" customWidth="1"/>
    <col min="14604" max="14604" width="1.5" style="1" customWidth="1"/>
    <col min="14605" max="14605" width="13.25" style="1" customWidth="1"/>
    <col min="14606" max="14608" width="12.25" style="1" customWidth="1"/>
    <col min="14609" max="14609" width="10.25" style="1" bestFit="1" customWidth="1"/>
    <col min="14610" max="14610" width="9.25" style="1" bestFit="1" customWidth="1"/>
    <col min="14611" max="14611" width="10.5" style="1" bestFit="1" customWidth="1"/>
    <col min="14612" max="14612" width="10" style="1" bestFit="1" customWidth="1"/>
    <col min="14613" max="14848" width="9" style="1"/>
    <col min="14849" max="14849" width="1.5" style="1" customWidth="1"/>
    <col min="14850" max="14850" width="2.125" style="1" customWidth="1"/>
    <col min="14851" max="14851" width="2.5" style="1" customWidth="1"/>
    <col min="14852" max="14852" width="1.625" style="1" customWidth="1"/>
    <col min="14853" max="14853" width="6.625" style="1" customWidth="1"/>
    <col min="14854" max="14854" width="7.625" style="1" customWidth="1"/>
    <col min="14855" max="14855" width="1.75" style="1" customWidth="1"/>
    <col min="14856" max="14856" width="12.25" style="1" customWidth="1"/>
    <col min="14857" max="14858" width="1.5" style="1" customWidth="1"/>
    <col min="14859" max="14859" width="12.25" style="1" customWidth="1"/>
    <col min="14860" max="14860" width="1.5" style="1" customWidth="1"/>
    <col min="14861" max="14861" width="13.25" style="1" customWidth="1"/>
    <col min="14862" max="14864" width="12.25" style="1" customWidth="1"/>
    <col min="14865" max="14865" width="10.25" style="1" bestFit="1" customWidth="1"/>
    <col min="14866" max="14866" width="9.25" style="1" bestFit="1" customWidth="1"/>
    <col min="14867" max="14867" width="10.5" style="1" bestFit="1" customWidth="1"/>
    <col min="14868" max="14868" width="10" style="1" bestFit="1" customWidth="1"/>
    <col min="14869" max="15104" width="9" style="1"/>
    <col min="15105" max="15105" width="1.5" style="1" customWidth="1"/>
    <col min="15106" max="15106" width="2.125" style="1" customWidth="1"/>
    <col min="15107" max="15107" width="2.5" style="1" customWidth="1"/>
    <col min="15108" max="15108" width="1.625" style="1" customWidth="1"/>
    <col min="15109" max="15109" width="6.625" style="1" customWidth="1"/>
    <col min="15110" max="15110" width="7.625" style="1" customWidth="1"/>
    <col min="15111" max="15111" width="1.75" style="1" customWidth="1"/>
    <col min="15112" max="15112" width="12.25" style="1" customWidth="1"/>
    <col min="15113" max="15114" width="1.5" style="1" customWidth="1"/>
    <col min="15115" max="15115" width="12.25" style="1" customWidth="1"/>
    <col min="15116" max="15116" width="1.5" style="1" customWidth="1"/>
    <col min="15117" max="15117" width="13.25" style="1" customWidth="1"/>
    <col min="15118" max="15120" width="12.25" style="1" customWidth="1"/>
    <col min="15121" max="15121" width="10.25" style="1" bestFit="1" customWidth="1"/>
    <col min="15122" max="15122" width="9.25" style="1" bestFit="1" customWidth="1"/>
    <col min="15123" max="15123" width="10.5" style="1" bestFit="1" customWidth="1"/>
    <col min="15124" max="15124" width="10" style="1" bestFit="1" customWidth="1"/>
    <col min="15125" max="15360" width="9" style="1"/>
    <col min="15361" max="15361" width="1.5" style="1" customWidth="1"/>
    <col min="15362" max="15362" width="2.125" style="1" customWidth="1"/>
    <col min="15363" max="15363" width="2.5" style="1" customWidth="1"/>
    <col min="15364" max="15364" width="1.625" style="1" customWidth="1"/>
    <col min="15365" max="15365" width="6.625" style="1" customWidth="1"/>
    <col min="15366" max="15366" width="7.625" style="1" customWidth="1"/>
    <col min="15367" max="15367" width="1.75" style="1" customWidth="1"/>
    <col min="15368" max="15368" width="12.25" style="1" customWidth="1"/>
    <col min="15369" max="15370" width="1.5" style="1" customWidth="1"/>
    <col min="15371" max="15371" width="12.25" style="1" customWidth="1"/>
    <col min="15372" max="15372" width="1.5" style="1" customWidth="1"/>
    <col min="15373" max="15373" width="13.25" style="1" customWidth="1"/>
    <col min="15374" max="15376" width="12.25" style="1" customWidth="1"/>
    <col min="15377" max="15377" width="10.25" style="1" bestFit="1" customWidth="1"/>
    <col min="15378" max="15378" width="9.25" style="1" bestFit="1" customWidth="1"/>
    <col min="15379" max="15379" width="10.5" style="1" bestFit="1" customWidth="1"/>
    <col min="15380" max="15380" width="10" style="1" bestFit="1" customWidth="1"/>
    <col min="15381" max="15616" width="9" style="1"/>
    <col min="15617" max="15617" width="1.5" style="1" customWidth="1"/>
    <col min="15618" max="15618" width="2.125" style="1" customWidth="1"/>
    <col min="15619" max="15619" width="2.5" style="1" customWidth="1"/>
    <col min="15620" max="15620" width="1.625" style="1" customWidth="1"/>
    <col min="15621" max="15621" width="6.625" style="1" customWidth="1"/>
    <col min="15622" max="15622" width="7.625" style="1" customWidth="1"/>
    <col min="15623" max="15623" width="1.75" style="1" customWidth="1"/>
    <col min="15624" max="15624" width="12.25" style="1" customWidth="1"/>
    <col min="15625" max="15626" width="1.5" style="1" customWidth="1"/>
    <col min="15627" max="15627" width="12.25" style="1" customWidth="1"/>
    <col min="15628" max="15628" width="1.5" style="1" customWidth="1"/>
    <col min="15629" max="15629" width="13.25" style="1" customWidth="1"/>
    <col min="15630" max="15632" width="12.25" style="1" customWidth="1"/>
    <col min="15633" max="15633" width="10.25" style="1" bestFit="1" customWidth="1"/>
    <col min="15634" max="15634" width="9.25" style="1" bestFit="1" customWidth="1"/>
    <col min="15635" max="15635" width="10.5" style="1" bestFit="1" customWidth="1"/>
    <col min="15636" max="15636" width="10" style="1" bestFit="1" customWidth="1"/>
    <col min="15637" max="15872" width="9" style="1"/>
    <col min="15873" max="15873" width="1.5" style="1" customWidth="1"/>
    <col min="15874" max="15874" width="2.125" style="1" customWidth="1"/>
    <col min="15875" max="15875" width="2.5" style="1" customWidth="1"/>
    <col min="15876" max="15876" width="1.625" style="1" customWidth="1"/>
    <col min="15877" max="15877" width="6.625" style="1" customWidth="1"/>
    <col min="15878" max="15878" width="7.625" style="1" customWidth="1"/>
    <col min="15879" max="15879" width="1.75" style="1" customWidth="1"/>
    <col min="15880" max="15880" width="12.25" style="1" customWidth="1"/>
    <col min="15881" max="15882" width="1.5" style="1" customWidth="1"/>
    <col min="15883" max="15883" width="12.25" style="1" customWidth="1"/>
    <col min="15884" max="15884" width="1.5" style="1" customWidth="1"/>
    <col min="15885" max="15885" width="13.25" style="1" customWidth="1"/>
    <col min="15886" max="15888" width="12.25" style="1" customWidth="1"/>
    <col min="15889" max="15889" width="10.25" style="1" bestFit="1" customWidth="1"/>
    <col min="15890" max="15890" width="9.25" style="1" bestFit="1" customWidth="1"/>
    <col min="15891" max="15891" width="10.5" style="1" bestFit="1" customWidth="1"/>
    <col min="15892" max="15892" width="10" style="1" bestFit="1" customWidth="1"/>
    <col min="15893" max="16128" width="9" style="1"/>
    <col min="16129" max="16129" width="1.5" style="1" customWidth="1"/>
    <col min="16130" max="16130" width="2.125" style="1" customWidth="1"/>
    <col min="16131" max="16131" width="2.5" style="1" customWidth="1"/>
    <col min="16132" max="16132" width="1.625" style="1" customWidth="1"/>
    <col min="16133" max="16133" width="6.625" style="1" customWidth="1"/>
    <col min="16134" max="16134" width="7.625" style="1" customWidth="1"/>
    <col min="16135" max="16135" width="1.75" style="1" customWidth="1"/>
    <col min="16136" max="16136" width="12.25" style="1" customWidth="1"/>
    <col min="16137" max="16138" width="1.5" style="1" customWidth="1"/>
    <col min="16139" max="16139" width="12.25" style="1" customWidth="1"/>
    <col min="16140" max="16140" width="1.5" style="1" customWidth="1"/>
    <col min="16141" max="16141" width="13.25" style="1" customWidth="1"/>
    <col min="16142" max="16144" width="12.25" style="1" customWidth="1"/>
    <col min="16145" max="16145" width="10.25" style="1" bestFit="1" customWidth="1"/>
    <col min="16146" max="16146" width="9.25" style="1" bestFit="1" customWidth="1"/>
    <col min="16147" max="16147" width="10.5" style="1" bestFit="1" customWidth="1"/>
    <col min="16148" max="16148" width="10" style="1" bestFit="1" customWidth="1"/>
    <col min="16149" max="16384" width="9" style="1"/>
  </cols>
  <sheetData>
    <row r="1" spans="1:20" ht="27.75" customHeight="1" x14ac:dyDescent="0.15">
      <c r="A1" s="346" t="s">
        <v>224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</row>
    <row r="2" spans="1:20" ht="18" customHeight="1" x14ac:dyDescent="0.15">
      <c r="A2" s="347" t="s">
        <v>225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</row>
    <row r="3" spans="1:20" ht="15" customHeight="1" thickBot="1" x14ac:dyDescent="0.2">
      <c r="A3" s="348"/>
      <c r="B3" s="349"/>
      <c r="C3" s="349"/>
      <c r="D3" s="349"/>
      <c r="E3" s="349"/>
      <c r="F3" s="349"/>
      <c r="G3" s="349"/>
      <c r="H3" s="1"/>
      <c r="I3" s="1"/>
      <c r="J3" s="1"/>
      <c r="K3" s="1"/>
      <c r="L3" s="1"/>
      <c r="M3" s="6"/>
      <c r="N3" s="6"/>
      <c r="O3" s="6"/>
      <c r="P3" s="7" t="s">
        <v>0</v>
      </c>
      <c r="Q3" s="7"/>
    </row>
    <row r="4" spans="1:20" ht="14.25" customHeight="1" x14ac:dyDescent="0.15">
      <c r="A4" s="350" t="s">
        <v>1</v>
      </c>
      <c r="B4" s="351"/>
      <c r="C4" s="351"/>
      <c r="D4" s="351"/>
      <c r="E4" s="351"/>
      <c r="F4" s="352"/>
      <c r="G4" s="356" t="s">
        <v>2</v>
      </c>
      <c r="H4" s="351"/>
      <c r="I4" s="352"/>
      <c r="J4" s="356" t="s">
        <v>3</v>
      </c>
      <c r="K4" s="351"/>
      <c r="L4" s="351"/>
      <c r="M4" s="379" t="s">
        <v>4</v>
      </c>
      <c r="N4" s="361" t="s">
        <v>5</v>
      </c>
      <c r="O4" s="361"/>
      <c r="P4" s="362" t="s">
        <v>6</v>
      </c>
    </row>
    <row r="5" spans="1:20" ht="14.25" customHeight="1" thickBot="1" x14ac:dyDescent="0.2">
      <c r="A5" s="353"/>
      <c r="B5" s="354"/>
      <c r="C5" s="354"/>
      <c r="D5" s="354"/>
      <c r="E5" s="354"/>
      <c r="F5" s="355"/>
      <c r="G5" s="357"/>
      <c r="H5" s="354"/>
      <c r="I5" s="355"/>
      <c r="J5" s="357"/>
      <c r="K5" s="354"/>
      <c r="L5" s="354"/>
      <c r="M5" s="380"/>
      <c r="N5" s="14" t="s">
        <v>13</v>
      </c>
      <c r="O5" s="14" t="s">
        <v>14</v>
      </c>
      <c r="P5" s="363"/>
      <c r="Q5" s="147"/>
      <c r="R5" s="147"/>
      <c r="S5" s="147"/>
      <c r="T5" s="147"/>
    </row>
    <row r="6" spans="1:20" ht="18" customHeight="1" x14ac:dyDescent="0.15">
      <c r="A6" s="381" t="s">
        <v>15</v>
      </c>
      <c r="B6" s="382"/>
      <c r="C6" s="382"/>
      <c r="D6" s="382"/>
      <c r="E6" s="382"/>
      <c r="F6" s="383"/>
      <c r="G6" s="15"/>
      <c r="H6" s="16"/>
      <c r="I6" s="17"/>
      <c r="J6" s="15"/>
      <c r="K6" s="16"/>
      <c r="L6" s="17"/>
      <c r="M6" s="148"/>
      <c r="N6" s="22"/>
      <c r="O6" s="22"/>
      <c r="P6" s="23"/>
    </row>
    <row r="7" spans="1:20" ht="18" customHeight="1" x14ac:dyDescent="0.15">
      <c r="A7" s="149"/>
      <c r="B7" s="40" t="s">
        <v>16</v>
      </c>
      <c r="C7" s="150"/>
      <c r="D7" s="151"/>
      <c r="F7" s="40"/>
      <c r="G7" s="29"/>
      <c r="H7" s="30"/>
      <c r="I7" s="31"/>
      <c r="J7" s="29"/>
      <c r="K7" s="30"/>
      <c r="L7" s="31"/>
      <c r="M7" s="152"/>
      <c r="N7" s="36"/>
      <c r="O7" s="36"/>
      <c r="P7" s="37"/>
    </row>
    <row r="8" spans="1:20" ht="18" customHeight="1" x14ac:dyDescent="0.15">
      <c r="A8" s="149"/>
      <c r="B8" s="40" t="s">
        <v>17</v>
      </c>
      <c r="C8" s="153"/>
      <c r="D8" s="151"/>
      <c r="E8" s="40"/>
      <c r="F8" s="40"/>
      <c r="G8" s="29"/>
      <c r="H8" s="30"/>
      <c r="I8" s="31"/>
      <c r="J8" s="29"/>
      <c r="K8" s="30"/>
      <c r="L8" s="31"/>
      <c r="M8" s="152"/>
      <c r="N8" s="36"/>
      <c r="O8" s="36"/>
      <c r="P8" s="37"/>
    </row>
    <row r="9" spans="1:20" ht="18" customHeight="1" x14ac:dyDescent="0.15">
      <c r="A9" s="39"/>
      <c r="B9" s="40" t="s">
        <v>18</v>
      </c>
      <c r="C9" s="41"/>
      <c r="D9" s="42"/>
      <c r="E9" s="43"/>
      <c r="F9" s="40"/>
      <c r="G9" s="29" t="s">
        <v>19</v>
      </c>
      <c r="H9" s="30">
        <f>H10</f>
        <v>1000</v>
      </c>
      <c r="I9" s="31" t="s">
        <v>20</v>
      </c>
      <c r="J9" s="29" t="s">
        <v>21</v>
      </c>
      <c r="K9" s="44">
        <f>K10</f>
        <v>1000</v>
      </c>
      <c r="L9" s="31" t="s">
        <v>22</v>
      </c>
      <c r="M9" s="154"/>
      <c r="N9" s="46"/>
      <c r="O9" s="46"/>
      <c r="P9" s="47"/>
    </row>
    <row r="10" spans="1:20" ht="18" customHeight="1" x14ac:dyDescent="0.15">
      <c r="A10" s="39"/>
      <c r="B10" s="48"/>
      <c r="C10" s="40" t="s">
        <v>23</v>
      </c>
      <c r="D10" s="42"/>
      <c r="E10" s="40"/>
      <c r="G10" s="49"/>
      <c r="H10" s="44">
        <v>1000</v>
      </c>
      <c r="I10" s="50"/>
      <c r="J10" s="49"/>
      <c r="K10" s="30">
        <f>M10+N10+O10+P10</f>
        <v>1000</v>
      </c>
      <c r="L10" s="50"/>
      <c r="M10" s="154">
        <v>1000</v>
      </c>
      <c r="N10" s="46"/>
      <c r="O10" s="46"/>
      <c r="P10" s="47"/>
    </row>
    <row r="11" spans="1:20" ht="18" customHeight="1" x14ac:dyDescent="0.15">
      <c r="A11" s="39"/>
      <c r="B11" s="40" t="s">
        <v>24</v>
      </c>
      <c r="C11" s="48"/>
      <c r="D11" s="42"/>
      <c r="F11" s="40"/>
      <c r="G11" s="29" t="s">
        <v>19</v>
      </c>
      <c r="H11" s="30">
        <f>H12</f>
        <v>1000</v>
      </c>
      <c r="I11" s="31" t="s">
        <v>20</v>
      </c>
      <c r="J11" s="29" t="s">
        <v>21</v>
      </c>
      <c r="K11" s="30">
        <f>K12</f>
        <v>1000</v>
      </c>
      <c r="L11" s="31" t="s">
        <v>22</v>
      </c>
      <c r="M11" s="154"/>
      <c r="N11" s="46"/>
      <c r="O11" s="46"/>
      <c r="P11" s="47"/>
    </row>
    <row r="12" spans="1:20" ht="18" customHeight="1" x14ac:dyDescent="0.15">
      <c r="A12" s="54"/>
      <c r="B12" s="55"/>
      <c r="C12" s="56" t="s">
        <v>79</v>
      </c>
      <c r="D12" s="57"/>
      <c r="E12" s="56"/>
      <c r="G12" s="29"/>
      <c r="H12" s="30">
        <v>1000</v>
      </c>
      <c r="I12" s="31"/>
      <c r="J12" s="29"/>
      <c r="K12" s="30">
        <f>M12+N12+O12+P12</f>
        <v>1000</v>
      </c>
      <c r="L12" s="31"/>
      <c r="M12" s="154"/>
      <c r="N12" s="46"/>
      <c r="O12" s="46"/>
      <c r="P12" s="47">
        <v>1000</v>
      </c>
    </row>
    <row r="13" spans="1:20" ht="18" customHeight="1" x14ac:dyDescent="0.15">
      <c r="A13" s="39"/>
      <c r="B13" s="40" t="s">
        <v>25</v>
      </c>
      <c r="C13" s="40"/>
      <c r="D13" s="42"/>
      <c r="E13" s="40"/>
      <c r="F13" s="40"/>
      <c r="G13" s="29" t="s">
        <v>19</v>
      </c>
      <c r="H13" s="30">
        <f>H14</f>
        <v>38000000</v>
      </c>
      <c r="I13" s="31" t="s">
        <v>20</v>
      </c>
      <c r="J13" s="29" t="s">
        <v>21</v>
      </c>
      <c r="K13" s="30">
        <f>K14</f>
        <v>38000000</v>
      </c>
      <c r="L13" s="31" t="s">
        <v>22</v>
      </c>
      <c r="M13" s="154"/>
      <c r="N13" s="46"/>
      <c r="O13" s="46"/>
      <c r="P13" s="47"/>
    </row>
    <row r="14" spans="1:20" ht="18" customHeight="1" x14ac:dyDescent="0.15">
      <c r="A14" s="39"/>
      <c r="B14" s="40"/>
      <c r="C14" s="40" t="s">
        <v>26</v>
      </c>
      <c r="D14" s="42"/>
      <c r="E14" s="40"/>
      <c r="F14" s="40"/>
      <c r="G14" s="29"/>
      <c r="H14" s="30">
        <v>38000000</v>
      </c>
      <c r="I14" s="31"/>
      <c r="J14" s="29"/>
      <c r="K14" s="223">
        <f>SUM(M14:P14)</f>
        <v>38000000</v>
      </c>
      <c r="L14" s="31"/>
      <c r="M14" s="154">
        <v>19000000</v>
      </c>
      <c r="N14" s="46"/>
      <c r="O14" s="46">
        <v>11400000</v>
      </c>
      <c r="P14" s="47">
        <v>7600000</v>
      </c>
      <c r="Q14" s="155"/>
      <c r="R14" s="155">
        <f>SUM(M14:P14)</f>
        <v>38000000</v>
      </c>
      <c r="S14" s="155"/>
      <c r="T14" s="155"/>
    </row>
    <row r="15" spans="1:20" ht="18" customHeight="1" x14ac:dyDescent="0.15">
      <c r="A15" s="39"/>
      <c r="B15" s="40" t="s">
        <v>27</v>
      </c>
      <c r="C15" s="40"/>
      <c r="D15" s="42"/>
      <c r="E15" s="40"/>
      <c r="F15" s="40"/>
      <c r="G15" s="29" t="s">
        <v>19</v>
      </c>
      <c r="H15" s="30">
        <f>SUM(H16:H20)</f>
        <v>18114000</v>
      </c>
      <c r="I15" s="31" t="s">
        <v>20</v>
      </c>
      <c r="J15" s="29" t="s">
        <v>21</v>
      </c>
      <c r="K15" s="223">
        <f>SUM(K16:K20)</f>
        <v>17586500</v>
      </c>
      <c r="L15" s="31" t="s">
        <v>22</v>
      </c>
      <c r="M15" s="154"/>
      <c r="N15" s="46"/>
      <c r="O15" s="46"/>
      <c r="P15" s="47"/>
      <c r="R15" s="155">
        <f t="shared" ref="R15:R35" si="0">SUM(M15:P15)</f>
        <v>0</v>
      </c>
    </row>
    <row r="16" spans="1:20" ht="18" customHeight="1" x14ac:dyDescent="0.15">
      <c r="A16" s="58"/>
      <c r="B16" s="40"/>
      <c r="C16" s="40" t="s">
        <v>28</v>
      </c>
      <c r="D16" s="42"/>
      <c r="E16" s="40"/>
      <c r="F16" s="40"/>
      <c r="G16" s="29"/>
      <c r="H16" s="30">
        <v>2388000</v>
      </c>
      <c r="I16" s="31"/>
      <c r="J16" s="29"/>
      <c r="K16" s="223">
        <v>3517000</v>
      </c>
      <c r="L16" s="31"/>
      <c r="M16" s="154">
        <v>3517000</v>
      </c>
      <c r="N16" s="46"/>
      <c r="O16" s="46"/>
      <c r="P16" s="47"/>
      <c r="Q16" s="155"/>
      <c r="R16" s="155">
        <f t="shared" si="0"/>
        <v>3517000</v>
      </c>
      <c r="S16" s="155"/>
      <c r="T16" s="155"/>
    </row>
    <row r="17" spans="1:20" ht="18" customHeight="1" x14ac:dyDescent="0.15">
      <c r="A17" s="39"/>
      <c r="B17" s="48"/>
      <c r="C17" s="40" t="s">
        <v>29</v>
      </c>
      <c r="D17" s="42"/>
      <c r="E17" s="40"/>
      <c r="F17" s="40"/>
      <c r="G17" s="29"/>
      <c r="H17" s="30">
        <v>210000</v>
      </c>
      <c r="I17" s="31"/>
      <c r="J17" s="29"/>
      <c r="K17" s="223">
        <v>150000</v>
      </c>
      <c r="L17" s="31"/>
      <c r="M17" s="154">
        <v>150000</v>
      </c>
      <c r="N17" s="46"/>
      <c r="O17" s="46"/>
      <c r="P17" s="47"/>
      <c r="Q17" s="155"/>
      <c r="R17" s="155">
        <f t="shared" si="0"/>
        <v>150000</v>
      </c>
      <c r="S17" s="155"/>
      <c r="T17" s="155"/>
    </row>
    <row r="18" spans="1:20" ht="18" customHeight="1" x14ac:dyDescent="0.15">
      <c r="A18" s="39"/>
      <c r="B18" s="48"/>
      <c r="C18" s="40" t="s">
        <v>30</v>
      </c>
      <c r="D18" s="42"/>
      <c r="E18" s="40"/>
      <c r="F18" s="40"/>
      <c r="G18" s="29"/>
      <c r="H18" s="30">
        <v>3979000</v>
      </c>
      <c r="I18" s="31"/>
      <c r="J18" s="29"/>
      <c r="K18" s="223">
        <v>2670000</v>
      </c>
      <c r="L18" s="31"/>
      <c r="M18" s="154">
        <v>2670000</v>
      </c>
      <c r="N18" s="46"/>
      <c r="O18" s="46"/>
      <c r="P18" s="47"/>
      <c r="Q18" s="155"/>
      <c r="R18" s="155">
        <f t="shared" si="0"/>
        <v>2670000</v>
      </c>
      <c r="S18" s="155"/>
      <c r="T18" s="155"/>
    </row>
    <row r="19" spans="1:20" ht="18" customHeight="1" x14ac:dyDescent="0.15">
      <c r="A19" s="39"/>
      <c r="B19" s="48"/>
      <c r="C19" s="40" t="s">
        <v>31</v>
      </c>
      <c r="D19" s="42"/>
      <c r="E19" s="40"/>
      <c r="F19" s="40"/>
      <c r="G19" s="29"/>
      <c r="H19" s="30">
        <v>1650000</v>
      </c>
      <c r="I19" s="31"/>
      <c r="J19" s="29"/>
      <c r="K19" s="223">
        <v>1450000</v>
      </c>
      <c r="L19" s="31"/>
      <c r="M19" s="154"/>
      <c r="N19" s="46">
        <v>1450000</v>
      </c>
      <c r="O19" s="46"/>
      <c r="P19" s="59"/>
      <c r="Q19" s="155"/>
      <c r="R19" s="155">
        <f t="shared" si="0"/>
        <v>1450000</v>
      </c>
      <c r="S19" s="155"/>
      <c r="T19" s="155"/>
    </row>
    <row r="20" spans="1:20" ht="18" customHeight="1" x14ac:dyDescent="0.15">
      <c r="A20" s="39"/>
      <c r="B20" s="40"/>
      <c r="C20" s="40" t="s">
        <v>32</v>
      </c>
      <c r="D20" s="40"/>
      <c r="E20" s="40"/>
      <c r="F20" s="40"/>
      <c r="G20" s="29"/>
      <c r="H20" s="30">
        <v>9887000</v>
      </c>
      <c r="I20" s="31"/>
      <c r="J20" s="29"/>
      <c r="K20" s="223">
        <v>9799500</v>
      </c>
      <c r="L20" s="31"/>
      <c r="M20" s="154"/>
      <c r="N20" s="46"/>
      <c r="O20" s="46">
        <v>9799500</v>
      </c>
      <c r="P20" s="59"/>
      <c r="Q20" s="155"/>
      <c r="R20" s="155">
        <f t="shared" si="0"/>
        <v>9799500</v>
      </c>
      <c r="S20" s="155"/>
      <c r="T20" s="155"/>
    </row>
    <row r="21" spans="1:20" ht="18" customHeight="1" x14ac:dyDescent="0.15">
      <c r="A21" s="39"/>
      <c r="B21" s="40" t="s">
        <v>33</v>
      </c>
      <c r="C21" s="40"/>
      <c r="D21" s="40"/>
      <c r="E21" s="40"/>
      <c r="F21" s="40"/>
      <c r="G21" s="29" t="s">
        <v>19</v>
      </c>
      <c r="H21" s="30">
        <f>SUM(H22:H26)</f>
        <v>16854600</v>
      </c>
      <c r="I21" s="31" t="s">
        <v>20</v>
      </c>
      <c r="J21" s="29" t="s">
        <v>21</v>
      </c>
      <c r="K21" s="30">
        <f>SUM(K22:K26)</f>
        <v>17654100</v>
      </c>
      <c r="L21" s="31" t="s">
        <v>22</v>
      </c>
      <c r="M21" s="154"/>
      <c r="N21" s="46"/>
      <c r="O21" s="46"/>
      <c r="P21" s="59"/>
      <c r="Q21" s="155"/>
      <c r="R21" s="155">
        <f t="shared" si="0"/>
        <v>0</v>
      </c>
      <c r="S21" s="155"/>
      <c r="T21" s="155"/>
    </row>
    <row r="22" spans="1:20" ht="18" customHeight="1" x14ac:dyDescent="0.15">
      <c r="A22" s="39"/>
      <c r="B22" s="40"/>
      <c r="C22" s="40" t="s">
        <v>103</v>
      </c>
      <c r="D22" s="40"/>
      <c r="E22" s="40"/>
      <c r="F22" s="40"/>
      <c r="G22" s="29"/>
      <c r="H22" s="30">
        <v>15954600</v>
      </c>
      <c r="I22" s="31"/>
      <c r="J22" s="29"/>
      <c r="K22" s="223">
        <v>16640900</v>
      </c>
      <c r="L22" s="31"/>
      <c r="M22" s="224">
        <v>16640900</v>
      </c>
      <c r="N22" s="46"/>
      <c r="O22" s="46"/>
      <c r="P22" s="59"/>
      <c r="Q22" s="155"/>
      <c r="R22" s="155">
        <f t="shared" si="0"/>
        <v>16640900</v>
      </c>
      <c r="S22" s="155"/>
      <c r="T22" s="155"/>
    </row>
    <row r="23" spans="1:20" ht="18" customHeight="1" x14ac:dyDescent="0.15">
      <c r="A23" s="39"/>
      <c r="B23" s="40"/>
      <c r="C23" s="40" t="s">
        <v>106</v>
      </c>
      <c r="D23" s="40"/>
      <c r="E23" s="40"/>
      <c r="F23" s="40"/>
      <c r="G23" s="29"/>
      <c r="H23" s="30">
        <v>450000</v>
      </c>
      <c r="I23" s="31"/>
      <c r="J23" s="29"/>
      <c r="K23" s="223">
        <v>463200</v>
      </c>
      <c r="L23" s="31"/>
      <c r="M23" s="154">
        <v>100000</v>
      </c>
      <c r="N23" s="46"/>
      <c r="O23" s="46"/>
      <c r="P23" s="59">
        <v>363200</v>
      </c>
      <c r="Q23" s="155"/>
      <c r="R23" s="155">
        <f t="shared" si="0"/>
        <v>463200</v>
      </c>
      <c r="S23" s="155"/>
      <c r="T23" s="155"/>
    </row>
    <row r="24" spans="1:20" ht="18" customHeight="1" x14ac:dyDescent="0.15">
      <c r="A24" s="39"/>
      <c r="B24" s="40"/>
      <c r="C24" s="372" t="s">
        <v>104</v>
      </c>
      <c r="D24" s="372"/>
      <c r="E24" s="372"/>
      <c r="F24" s="373"/>
      <c r="G24" s="29"/>
      <c r="H24" s="30">
        <v>150000</v>
      </c>
      <c r="I24" s="31"/>
      <c r="J24" s="29"/>
      <c r="K24" s="223">
        <f t="shared" ref="K24:K25" si="1">M24+N24+O24+P24</f>
        <v>150000</v>
      </c>
      <c r="L24" s="31"/>
      <c r="M24" s="154"/>
      <c r="N24" s="46"/>
      <c r="O24" s="46"/>
      <c r="P24" s="59">
        <v>150000</v>
      </c>
      <c r="Q24" s="155"/>
      <c r="R24" s="155">
        <f t="shared" si="0"/>
        <v>150000</v>
      </c>
      <c r="S24" s="155"/>
      <c r="T24" s="155"/>
    </row>
    <row r="25" spans="1:20" ht="18" customHeight="1" x14ac:dyDescent="0.15">
      <c r="A25" s="39"/>
      <c r="B25" s="40"/>
      <c r="C25" s="40" t="s">
        <v>105</v>
      </c>
      <c r="D25" s="40"/>
      <c r="E25" s="40"/>
      <c r="F25" s="40"/>
      <c r="G25" s="29"/>
      <c r="H25" s="30">
        <v>200000</v>
      </c>
      <c r="I25" s="31"/>
      <c r="J25" s="29"/>
      <c r="K25" s="223">
        <f t="shared" si="1"/>
        <v>200000</v>
      </c>
      <c r="L25" s="31"/>
      <c r="M25" s="154"/>
      <c r="N25" s="46"/>
      <c r="O25" s="30"/>
      <c r="P25" s="59">
        <v>200000</v>
      </c>
      <c r="Q25" s="155"/>
      <c r="R25" s="155">
        <f t="shared" si="0"/>
        <v>200000</v>
      </c>
      <c r="S25" s="155"/>
      <c r="T25" s="155"/>
    </row>
    <row r="26" spans="1:20" ht="18" customHeight="1" x14ac:dyDescent="0.15">
      <c r="A26" s="39"/>
      <c r="B26" s="40"/>
      <c r="C26" s="366" t="s">
        <v>222</v>
      </c>
      <c r="D26" s="367"/>
      <c r="E26" s="367"/>
      <c r="F26" s="368"/>
      <c r="G26" s="29"/>
      <c r="H26" s="30">
        <v>100000</v>
      </c>
      <c r="I26" s="31"/>
      <c r="J26" s="29"/>
      <c r="K26" s="223">
        <v>200000</v>
      </c>
      <c r="L26" s="31"/>
      <c r="M26" s="154">
        <v>200000</v>
      </c>
      <c r="N26" s="46"/>
      <c r="O26" s="30"/>
      <c r="P26" s="59"/>
      <c r="Q26" s="155"/>
      <c r="R26" s="155">
        <v>200000</v>
      </c>
      <c r="S26" s="155"/>
      <c r="T26" s="155"/>
    </row>
    <row r="27" spans="1:20" ht="18" customHeight="1" x14ac:dyDescent="0.15">
      <c r="A27" s="39"/>
      <c r="B27" s="40" t="s">
        <v>34</v>
      </c>
      <c r="C27" s="40"/>
      <c r="D27" s="40"/>
      <c r="E27" s="40"/>
      <c r="F27" s="40"/>
      <c r="G27" s="29" t="s">
        <v>19</v>
      </c>
      <c r="H27" s="30">
        <f>SUM(H28:H29)</f>
        <v>937400</v>
      </c>
      <c r="I27" s="31" t="s">
        <v>20</v>
      </c>
      <c r="J27" s="29" t="s">
        <v>19</v>
      </c>
      <c r="K27" s="30">
        <f>SUM(K28:K29)</f>
        <v>1869000</v>
      </c>
      <c r="L27" s="31" t="s">
        <v>20</v>
      </c>
      <c r="M27" s="154"/>
      <c r="N27" s="46"/>
      <c r="O27" s="46"/>
      <c r="P27" s="59"/>
      <c r="Q27" s="155"/>
      <c r="R27" s="155">
        <f t="shared" si="0"/>
        <v>0</v>
      </c>
      <c r="S27" s="155"/>
      <c r="T27" s="155"/>
    </row>
    <row r="28" spans="1:20" ht="18" customHeight="1" x14ac:dyDescent="0.15">
      <c r="A28" s="39"/>
      <c r="B28" s="40"/>
      <c r="C28" s="40" t="s">
        <v>34</v>
      </c>
      <c r="D28" s="40"/>
      <c r="E28" s="40"/>
      <c r="F28" s="40"/>
      <c r="G28" s="29"/>
      <c r="H28" s="30">
        <v>305000</v>
      </c>
      <c r="I28" s="31"/>
      <c r="J28" s="29"/>
      <c r="K28" s="223">
        <v>1293000</v>
      </c>
      <c r="L28" s="31"/>
      <c r="M28" s="154"/>
      <c r="N28" s="46"/>
      <c r="O28" s="46"/>
      <c r="P28" s="59">
        <v>1293000</v>
      </c>
      <c r="Q28" s="155"/>
      <c r="R28" s="155">
        <f t="shared" si="0"/>
        <v>1293000</v>
      </c>
      <c r="S28" s="155"/>
      <c r="T28" s="155"/>
    </row>
    <row r="29" spans="1:20" ht="18" customHeight="1" x14ac:dyDescent="0.15">
      <c r="A29" s="39"/>
      <c r="B29" s="40"/>
      <c r="C29" s="40" t="s">
        <v>35</v>
      </c>
      <c r="D29" s="40"/>
      <c r="E29" s="40"/>
      <c r="F29" s="40"/>
      <c r="G29" s="29"/>
      <c r="H29" s="30">
        <v>632400</v>
      </c>
      <c r="I29" s="31"/>
      <c r="J29" s="29"/>
      <c r="K29" s="223">
        <v>576000</v>
      </c>
      <c r="L29" s="31"/>
      <c r="M29" s="154"/>
      <c r="N29" s="46"/>
      <c r="O29" s="46">
        <v>576000</v>
      </c>
      <c r="P29" s="59"/>
      <c r="Q29" s="155"/>
      <c r="R29" s="155">
        <f t="shared" si="0"/>
        <v>576000</v>
      </c>
      <c r="S29" s="155"/>
      <c r="T29" s="155"/>
    </row>
    <row r="30" spans="1:20" ht="18" customHeight="1" x14ac:dyDescent="0.15">
      <c r="A30" s="39"/>
      <c r="B30" s="40" t="s">
        <v>107</v>
      </c>
      <c r="C30" s="40"/>
      <c r="D30" s="40"/>
      <c r="E30" s="40"/>
      <c r="F30" s="40"/>
      <c r="G30" s="29" t="s">
        <v>19</v>
      </c>
      <c r="H30" s="30">
        <f>SUM(H31)</f>
        <v>0</v>
      </c>
      <c r="I30" s="31" t="s">
        <v>20</v>
      </c>
      <c r="J30" s="29" t="s">
        <v>19</v>
      </c>
      <c r="K30" s="30">
        <f>SUM(K31)</f>
        <v>0</v>
      </c>
      <c r="L30" s="31" t="s">
        <v>20</v>
      </c>
      <c r="M30" s="154"/>
      <c r="N30" s="46"/>
      <c r="O30" s="46"/>
      <c r="P30" s="59"/>
      <c r="Q30" s="155"/>
      <c r="R30" s="155">
        <f t="shared" si="0"/>
        <v>0</v>
      </c>
      <c r="S30" s="155"/>
      <c r="T30" s="155"/>
    </row>
    <row r="31" spans="1:20" ht="18" customHeight="1" x14ac:dyDescent="0.15">
      <c r="A31" s="39"/>
      <c r="B31" s="40"/>
      <c r="C31" s="40" t="s">
        <v>107</v>
      </c>
      <c r="D31" s="40"/>
      <c r="E31" s="40"/>
      <c r="F31" s="40"/>
      <c r="G31" s="29"/>
      <c r="H31" s="30">
        <v>0</v>
      </c>
      <c r="I31" s="31"/>
      <c r="J31" s="29"/>
      <c r="K31" s="30">
        <f>M31+N31+O31+P31</f>
        <v>0</v>
      </c>
      <c r="L31" s="31"/>
      <c r="M31" s="154"/>
      <c r="N31" s="46"/>
      <c r="O31" s="46"/>
      <c r="P31" s="59"/>
      <c r="Q31" s="155"/>
      <c r="R31" s="155">
        <f t="shared" si="0"/>
        <v>0</v>
      </c>
      <c r="S31" s="155"/>
      <c r="T31" s="155"/>
    </row>
    <row r="32" spans="1:20" ht="18" customHeight="1" x14ac:dyDescent="0.15">
      <c r="A32" s="39"/>
      <c r="B32" s="40" t="s">
        <v>36</v>
      </c>
      <c r="C32" s="60"/>
      <c r="D32" s="40"/>
      <c r="E32" s="40"/>
      <c r="F32" s="40"/>
      <c r="G32" s="29" t="s">
        <v>19</v>
      </c>
      <c r="H32" s="30">
        <f>SUM(H33:H34)</f>
        <v>771000</v>
      </c>
      <c r="I32" s="31" t="s">
        <v>20</v>
      </c>
      <c r="J32" s="29" t="s">
        <v>21</v>
      </c>
      <c r="K32" s="30">
        <f>SUM(K33:K34)</f>
        <v>221000</v>
      </c>
      <c r="L32" s="31" t="s">
        <v>22</v>
      </c>
      <c r="M32" s="154"/>
      <c r="N32" s="46"/>
      <c r="O32" s="46"/>
      <c r="P32" s="59"/>
      <c r="Q32" s="155"/>
      <c r="R32" s="155">
        <f t="shared" si="0"/>
        <v>0</v>
      </c>
      <c r="S32" s="155"/>
      <c r="T32" s="155"/>
    </row>
    <row r="33" spans="1:20" ht="18" customHeight="1" x14ac:dyDescent="0.15">
      <c r="A33" s="39"/>
      <c r="B33" s="40"/>
      <c r="C33" s="40" t="s">
        <v>37</v>
      </c>
      <c r="D33" s="40"/>
      <c r="E33" s="40"/>
      <c r="F33" s="40"/>
      <c r="G33" s="29"/>
      <c r="H33" s="30">
        <v>1000</v>
      </c>
      <c r="I33" s="31"/>
      <c r="J33" s="29"/>
      <c r="K33" s="223">
        <f t="shared" ref="K33" si="2">M33+N33+O33+P33</f>
        <v>1000</v>
      </c>
      <c r="L33" s="31"/>
      <c r="M33" s="154"/>
      <c r="N33" s="46"/>
      <c r="O33" s="46"/>
      <c r="P33" s="59">
        <v>1000</v>
      </c>
      <c r="Q33" s="155"/>
      <c r="R33" s="155">
        <f t="shared" si="0"/>
        <v>1000</v>
      </c>
      <c r="S33" s="155"/>
      <c r="T33" s="155"/>
    </row>
    <row r="34" spans="1:20" ht="18" customHeight="1" x14ac:dyDescent="0.15">
      <c r="A34" s="39"/>
      <c r="B34" s="40"/>
      <c r="C34" s="40" t="s">
        <v>36</v>
      </c>
      <c r="D34" s="40"/>
      <c r="E34" s="40"/>
      <c r="F34" s="40"/>
      <c r="G34" s="29"/>
      <c r="H34" s="30">
        <v>770000</v>
      </c>
      <c r="I34" s="31"/>
      <c r="J34" s="29"/>
      <c r="K34" s="223">
        <v>220000</v>
      </c>
      <c r="L34" s="31"/>
      <c r="M34" s="154"/>
      <c r="N34" s="46"/>
      <c r="O34" s="61"/>
      <c r="P34" s="62">
        <v>220000</v>
      </c>
      <c r="Q34" s="155"/>
      <c r="R34" s="155">
        <f t="shared" si="0"/>
        <v>220000</v>
      </c>
      <c r="S34" s="155"/>
      <c r="T34" s="155"/>
    </row>
    <row r="35" spans="1:20" ht="18" customHeight="1" x14ac:dyDescent="0.15">
      <c r="A35" s="63"/>
      <c r="B35" s="64"/>
      <c r="C35" s="65" t="s">
        <v>38</v>
      </c>
      <c r="D35" s="64"/>
      <c r="E35" s="65"/>
      <c r="F35" s="219"/>
      <c r="G35" s="66"/>
      <c r="H35" s="67">
        <f>SUM(H9,H11,H13,H15,H21,H27,H30,H32)</f>
        <v>74679000</v>
      </c>
      <c r="I35" s="68"/>
      <c r="J35" s="66"/>
      <c r="K35" s="67">
        <f>K9+K11+K13+K15+K21+K27+K30+K32</f>
        <v>75332600</v>
      </c>
      <c r="L35" s="68"/>
      <c r="M35" s="156">
        <f>SUM(M9:M34)</f>
        <v>42278900</v>
      </c>
      <c r="N35" s="73">
        <f>SUM(N9:N34)</f>
        <v>1450000</v>
      </c>
      <c r="O35" s="73">
        <f>SUM(O9:O34)</f>
        <v>21775500</v>
      </c>
      <c r="P35" s="74">
        <f>SUM(P9:P34)</f>
        <v>9828200</v>
      </c>
      <c r="Q35" s="155"/>
      <c r="R35" s="155">
        <f t="shared" si="0"/>
        <v>75332600</v>
      </c>
      <c r="S35" s="155"/>
      <c r="T35" s="155"/>
    </row>
    <row r="36" spans="1:20" ht="18" customHeight="1" x14ac:dyDescent="0.15">
      <c r="A36" s="75"/>
      <c r="B36" s="28" t="s">
        <v>39</v>
      </c>
      <c r="C36" s="76"/>
      <c r="D36" s="76"/>
      <c r="G36" s="49"/>
      <c r="H36" s="44"/>
      <c r="I36" s="50"/>
      <c r="J36" s="49"/>
      <c r="K36" s="44"/>
      <c r="L36" s="50"/>
      <c r="M36" s="157"/>
      <c r="N36" s="78"/>
      <c r="O36" s="78"/>
      <c r="P36" s="79"/>
      <c r="Q36" s="155"/>
      <c r="R36" s="155"/>
      <c r="S36" s="155"/>
      <c r="T36" s="155"/>
    </row>
    <row r="37" spans="1:20" ht="18" customHeight="1" x14ac:dyDescent="0.15">
      <c r="A37" s="58"/>
      <c r="B37" s="40" t="s">
        <v>40</v>
      </c>
      <c r="C37" s="40"/>
      <c r="D37" s="42"/>
      <c r="E37" s="40"/>
      <c r="F37" s="40"/>
      <c r="G37" s="29" t="s">
        <v>21</v>
      </c>
      <c r="H37" s="30">
        <f>SUM(H38+H51+H60+H74+H76)</f>
        <v>40271850</v>
      </c>
      <c r="I37" s="31" t="s">
        <v>20</v>
      </c>
      <c r="J37" s="29" t="s">
        <v>21</v>
      </c>
      <c r="K37" s="30">
        <f>SUM(K38+K51+K60+K74+K76)</f>
        <v>43745397</v>
      </c>
      <c r="L37" s="31" t="s">
        <v>22</v>
      </c>
      <c r="M37" s="154"/>
      <c r="N37" s="46"/>
      <c r="O37" s="46"/>
      <c r="P37" s="47"/>
      <c r="Q37" s="155"/>
      <c r="R37" s="155"/>
      <c r="S37" s="155"/>
      <c r="T37" s="155"/>
    </row>
    <row r="38" spans="1:20" ht="18" customHeight="1" x14ac:dyDescent="0.15">
      <c r="A38" s="58"/>
      <c r="B38" s="366" t="s">
        <v>41</v>
      </c>
      <c r="C38" s="367"/>
      <c r="D38" s="367"/>
      <c r="E38" s="367"/>
      <c r="F38" s="368"/>
      <c r="G38" s="29" t="s">
        <v>171</v>
      </c>
      <c r="H38" s="30">
        <f>SUM(H39:H50)</f>
        <v>13664200</v>
      </c>
      <c r="I38" s="31" t="s">
        <v>172</v>
      </c>
      <c r="J38" s="29" t="s">
        <v>171</v>
      </c>
      <c r="K38" s="30">
        <f>SUM(K39:K50)</f>
        <v>17189200</v>
      </c>
      <c r="L38" s="31" t="s">
        <v>172</v>
      </c>
      <c r="M38" s="154"/>
      <c r="N38" s="46"/>
      <c r="O38" s="46"/>
      <c r="P38" s="47"/>
      <c r="Q38" s="155"/>
      <c r="R38" s="328">
        <f>SUM(R39:R50)</f>
        <v>17189200</v>
      </c>
      <c r="S38" s="155"/>
      <c r="T38" s="155"/>
    </row>
    <row r="39" spans="1:20" ht="18" customHeight="1" x14ac:dyDescent="0.15">
      <c r="A39" s="58"/>
      <c r="B39" s="40"/>
      <c r="C39" s="40" t="s">
        <v>147</v>
      </c>
      <c r="D39" s="42"/>
      <c r="E39" s="40"/>
      <c r="F39" s="40"/>
      <c r="G39" s="29"/>
      <c r="H39" s="30">
        <v>194000</v>
      </c>
      <c r="I39" s="31"/>
      <c r="J39" s="29"/>
      <c r="K39" s="30">
        <f>M39+N39+O39+P39</f>
        <v>194000</v>
      </c>
      <c r="L39" s="31"/>
      <c r="M39" s="254">
        <v>194000</v>
      </c>
      <c r="N39" s="46"/>
      <c r="O39" s="46"/>
      <c r="P39" s="47"/>
      <c r="Q39" s="155"/>
      <c r="R39" s="155">
        <f t="shared" ref="R39:R104" si="3">SUM(M39:P39)</f>
        <v>194000</v>
      </c>
      <c r="S39" s="155"/>
      <c r="T39" s="155"/>
    </row>
    <row r="40" spans="1:20" ht="18" customHeight="1" x14ac:dyDescent="0.15">
      <c r="A40" s="58"/>
      <c r="B40" s="40"/>
      <c r="C40" s="40" t="s">
        <v>148</v>
      </c>
      <c r="D40" s="42"/>
      <c r="E40" s="40"/>
      <c r="F40" s="40"/>
      <c r="G40" s="29"/>
      <c r="H40" s="30">
        <v>577000</v>
      </c>
      <c r="I40" s="31"/>
      <c r="J40" s="29"/>
      <c r="K40" s="30">
        <v>611000</v>
      </c>
      <c r="L40" s="272"/>
      <c r="M40" s="32">
        <v>611000</v>
      </c>
      <c r="N40" s="46"/>
      <c r="O40" s="46"/>
      <c r="P40" s="47"/>
      <c r="Q40" s="155"/>
      <c r="R40" s="155">
        <f t="shared" si="3"/>
        <v>611000</v>
      </c>
      <c r="S40" s="155"/>
      <c r="T40" s="155"/>
    </row>
    <row r="41" spans="1:20" ht="18" customHeight="1" x14ac:dyDescent="0.15">
      <c r="A41" s="58"/>
      <c r="B41" s="40"/>
      <c r="C41" s="40" t="s">
        <v>149</v>
      </c>
      <c r="D41" s="42"/>
      <c r="E41" s="40"/>
      <c r="F41" s="40"/>
      <c r="G41" s="29"/>
      <c r="H41" s="30">
        <v>2869000</v>
      </c>
      <c r="I41" s="31"/>
      <c r="J41" s="29"/>
      <c r="K41" s="30">
        <v>3092000</v>
      </c>
      <c r="L41" s="272"/>
      <c r="M41" s="32">
        <v>3092000</v>
      </c>
      <c r="N41" s="46"/>
      <c r="O41" s="46"/>
      <c r="P41" s="47"/>
      <c r="Q41" s="155"/>
      <c r="R41" s="155">
        <f t="shared" si="3"/>
        <v>3092000</v>
      </c>
      <c r="S41" s="155"/>
      <c r="T41" s="155"/>
    </row>
    <row r="42" spans="1:20" ht="18" customHeight="1" x14ac:dyDescent="0.15">
      <c r="A42" s="58"/>
      <c r="B42" s="40"/>
      <c r="C42" s="40" t="s">
        <v>150</v>
      </c>
      <c r="D42" s="42"/>
      <c r="E42" s="40"/>
      <c r="F42" s="40"/>
      <c r="G42" s="29"/>
      <c r="H42" s="30">
        <v>1331000</v>
      </c>
      <c r="I42" s="31"/>
      <c r="J42" s="29"/>
      <c r="K42" s="30">
        <v>1090000</v>
      </c>
      <c r="L42" s="272"/>
      <c r="M42" s="32">
        <v>1090000</v>
      </c>
      <c r="N42" s="46"/>
      <c r="O42" s="46"/>
      <c r="P42" s="47"/>
      <c r="Q42" s="155"/>
      <c r="R42" s="155">
        <f t="shared" si="3"/>
        <v>1090000</v>
      </c>
      <c r="S42" s="155"/>
      <c r="T42" s="155"/>
    </row>
    <row r="43" spans="1:20" ht="18" customHeight="1" x14ac:dyDescent="0.15">
      <c r="A43" s="58"/>
      <c r="B43" s="40"/>
      <c r="C43" s="40" t="s">
        <v>151</v>
      </c>
      <c r="D43" s="42"/>
      <c r="E43" s="40"/>
      <c r="F43" s="40"/>
      <c r="G43" s="29"/>
      <c r="H43" s="30">
        <v>5398000</v>
      </c>
      <c r="I43" s="31"/>
      <c r="J43" s="29"/>
      <c r="K43" s="30">
        <v>6450000</v>
      </c>
      <c r="L43" s="272"/>
      <c r="M43" s="32">
        <v>6450000</v>
      </c>
      <c r="N43" s="46"/>
      <c r="O43" s="46"/>
      <c r="P43" s="47"/>
      <c r="Q43" s="155"/>
      <c r="R43" s="155">
        <f t="shared" si="3"/>
        <v>6450000</v>
      </c>
      <c r="S43" s="155"/>
      <c r="T43" s="155"/>
    </row>
    <row r="44" spans="1:20" ht="18" customHeight="1" x14ac:dyDescent="0.15">
      <c r="A44" s="58"/>
      <c r="B44" s="40"/>
      <c r="C44" s="40" t="s">
        <v>152</v>
      </c>
      <c r="D44" s="42"/>
      <c r="E44" s="40"/>
      <c r="F44" s="40"/>
      <c r="G44" s="29"/>
      <c r="H44" s="30">
        <v>320000</v>
      </c>
      <c r="I44" s="31"/>
      <c r="J44" s="29"/>
      <c r="K44" s="30">
        <v>320000</v>
      </c>
      <c r="L44" s="272"/>
      <c r="M44" s="32">
        <v>320000</v>
      </c>
      <c r="N44" s="46"/>
      <c r="O44" s="46"/>
      <c r="P44" s="47"/>
      <c r="Q44" s="155"/>
      <c r="R44" s="155">
        <f t="shared" si="3"/>
        <v>320000</v>
      </c>
      <c r="S44" s="155"/>
      <c r="T44" s="155"/>
    </row>
    <row r="45" spans="1:20" ht="18" customHeight="1" x14ac:dyDescent="0.15">
      <c r="A45" s="58"/>
      <c r="B45" s="40"/>
      <c r="C45" s="40" t="s">
        <v>153</v>
      </c>
      <c r="D45" s="42"/>
      <c r="E45" s="40"/>
      <c r="F45" s="40"/>
      <c r="G45" s="29"/>
      <c r="H45" s="30">
        <v>456000</v>
      </c>
      <c r="I45" s="31"/>
      <c r="J45" s="29"/>
      <c r="K45" s="30">
        <v>705000</v>
      </c>
      <c r="L45" s="272"/>
      <c r="M45" s="32">
        <v>705000</v>
      </c>
      <c r="N45" s="46"/>
      <c r="O45" s="46"/>
      <c r="P45" s="47"/>
      <c r="Q45" s="155"/>
      <c r="R45" s="155">
        <f t="shared" si="3"/>
        <v>705000</v>
      </c>
      <c r="S45" s="155"/>
      <c r="T45" s="155"/>
    </row>
    <row r="46" spans="1:20" ht="18" customHeight="1" x14ac:dyDescent="0.15">
      <c r="A46" s="58"/>
      <c r="B46" s="40"/>
      <c r="C46" s="40" t="s">
        <v>154</v>
      </c>
      <c r="D46" s="42"/>
      <c r="E46" s="40"/>
      <c r="F46" s="40"/>
      <c r="G46" s="29"/>
      <c r="H46" s="30">
        <v>0</v>
      </c>
      <c r="I46" s="31"/>
      <c r="J46" s="29"/>
      <c r="K46" s="30">
        <f t="shared" ref="K46" si="4">M46+N46+O46+P46</f>
        <v>0</v>
      </c>
      <c r="L46" s="272"/>
      <c r="M46" s="32">
        <v>0</v>
      </c>
      <c r="N46" s="46"/>
      <c r="O46" s="46"/>
      <c r="P46" s="47"/>
      <c r="Q46" s="155"/>
      <c r="R46" s="155">
        <f t="shared" si="3"/>
        <v>0</v>
      </c>
      <c r="S46" s="155"/>
      <c r="T46" s="155"/>
    </row>
    <row r="47" spans="1:20" ht="18" customHeight="1" x14ac:dyDescent="0.15">
      <c r="A47" s="58"/>
      <c r="B47" s="40"/>
      <c r="C47" s="40" t="s">
        <v>155</v>
      </c>
      <c r="D47" s="42"/>
      <c r="E47" s="40"/>
      <c r="F47" s="40"/>
      <c r="G47" s="29"/>
      <c r="H47" s="30">
        <v>1328000</v>
      </c>
      <c r="I47" s="31"/>
      <c r="J47" s="29"/>
      <c r="K47" s="30">
        <v>3058000</v>
      </c>
      <c r="L47" s="272"/>
      <c r="M47" s="32">
        <v>3058000</v>
      </c>
      <c r="N47" s="46"/>
      <c r="O47" s="46"/>
      <c r="P47" s="47"/>
      <c r="Q47" s="155"/>
      <c r="R47" s="155">
        <f t="shared" si="3"/>
        <v>3058000</v>
      </c>
      <c r="S47" s="155"/>
      <c r="T47" s="155"/>
    </row>
    <row r="48" spans="1:20" ht="18" customHeight="1" x14ac:dyDescent="0.15">
      <c r="A48" s="58"/>
      <c r="B48" s="40"/>
      <c r="C48" s="40" t="s">
        <v>156</v>
      </c>
      <c r="D48" s="42"/>
      <c r="E48" s="40"/>
      <c r="F48" s="40"/>
      <c r="G48" s="29"/>
      <c r="H48" s="30">
        <v>100000</v>
      </c>
      <c r="I48" s="31"/>
      <c r="J48" s="29"/>
      <c r="K48" s="30">
        <v>125000</v>
      </c>
      <c r="L48" s="272"/>
      <c r="M48" s="32">
        <v>125000</v>
      </c>
      <c r="N48" s="46"/>
      <c r="O48" s="46"/>
      <c r="P48" s="47"/>
      <c r="Q48" s="155"/>
      <c r="R48" s="155">
        <f t="shared" si="3"/>
        <v>125000</v>
      </c>
      <c r="S48" s="155"/>
      <c r="T48" s="155"/>
    </row>
    <row r="49" spans="1:21" ht="18" customHeight="1" x14ac:dyDescent="0.15">
      <c r="A49" s="58"/>
      <c r="B49" s="40"/>
      <c r="C49" s="40" t="s">
        <v>157</v>
      </c>
      <c r="D49" s="42"/>
      <c r="E49" s="40"/>
      <c r="F49" s="40"/>
      <c r="G49" s="29"/>
      <c r="H49" s="30">
        <v>206000</v>
      </c>
      <c r="I49" s="31"/>
      <c r="J49" s="29"/>
      <c r="K49" s="30">
        <v>190000</v>
      </c>
      <c r="L49" s="272"/>
      <c r="M49" s="32">
        <v>190000</v>
      </c>
      <c r="N49" s="46"/>
      <c r="O49" s="46"/>
      <c r="P49" s="47"/>
      <c r="Q49" s="155"/>
      <c r="R49" s="155">
        <f t="shared" si="3"/>
        <v>190000</v>
      </c>
      <c r="S49" s="155"/>
      <c r="T49" s="155"/>
    </row>
    <row r="50" spans="1:21" ht="18" customHeight="1" x14ac:dyDescent="0.15">
      <c r="A50" s="58"/>
      <c r="B50" s="40"/>
      <c r="C50" s="40" t="s">
        <v>158</v>
      </c>
      <c r="D50" s="42"/>
      <c r="E50" s="40"/>
      <c r="F50" s="40"/>
      <c r="G50" s="29"/>
      <c r="H50" s="30">
        <v>885200</v>
      </c>
      <c r="I50" s="31"/>
      <c r="J50" s="29"/>
      <c r="K50" s="30">
        <v>1354200</v>
      </c>
      <c r="L50" s="272"/>
      <c r="M50" s="32">
        <v>1354200</v>
      </c>
      <c r="N50" s="46"/>
      <c r="O50" s="46"/>
      <c r="P50" s="47"/>
      <c r="Q50" s="155"/>
      <c r="R50" s="155">
        <f t="shared" si="3"/>
        <v>1354200</v>
      </c>
      <c r="S50" s="155">
        <f>SUM(R39:R50)</f>
        <v>17189200</v>
      </c>
      <c r="T50" s="155"/>
      <c r="U50" s="1">
        <v>14189200</v>
      </c>
    </row>
    <row r="51" spans="1:21" ht="18" customHeight="1" x14ac:dyDescent="0.15">
      <c r="A51" s="58"/>
      <c r="B51" s="366" t="s">
        <v>42</v>
      </c>
      <c r="C51" s="367"/>
      <c r="D51" s="367"/>
      <c r="E51" s="367"/>
      <c r="F51" s="368"/>
      <c r="G51" s="29" t="s">
        <v>171</v>
      </c>
      <c r="H51" s="30">
        <f>SUM(H52:H59)</f>
        <v>2005550</v>
      </c>
      <c r="I51" s="31" t="s">
        <v>172</v>
      </c>
      <c r="J51" s="29" t="s">
        <v>171</v>
      </c>
      <c r="K51" s="30">
        <f>SUM(K52:K59)</f>
        <v>3052550</v>
      </c>
      <c r="L51" s="31" t="s">
        <v>172</v>
      </c>
      <c r="M51" s="154"/>
      <c r="N51" s="46"/>
      <c r="O51" s="46"/>
      <c r="P51" s="47"/>
      <c r="Q51" s="155"/>
      <c r="R51" s="328">
        <f>SUM(R52:R59)</f>
        <v>3052550</v>
      </c>
      <c r="S51" s="155"/>
      <c r="T51" s="155"/>
    </row>
    <row r="52" spans="1:21" ht="18" customHeight="1" x14ac:dyDescent="0.15">
      <c r="A52" s="58"/>
      <c r="B52" s="40"/>
      <c r="C52" s="377" t="s">
        <v>148</v>
      </c>
      <c r="D52" s="377"/>
      <c r="E52" s="377"/>
      <c r="F52" s="220"/>
      <c r="G52" s="29"/>
      <c r="H52" s="30">
        <v>30000</v>
      </c>
      <c r="I52" s="31"/>
      <c r="J52" s="29"/>
      <c r="K52" s="30">
        <f>M52</f>
        <v>30000</v>
      </c>
      <c r="L52" s="272"/>
      <c r="M52" s="271">
        <v>30000</v>
      </c>
      <c r="N52" s="46"/>
      <c r="O52" s="46"/>
      <c r="P52" s="47"/>
      <c r="Q52" s="155"/>
      <c r="R52" s="155">
        <f t="shared" si="3"/>
        <v>30000</v>
      </c>
      <c r="S52" s="155"/>
      <c r="T52" s="155"/>
    </row>
    <row r="53" spans="1:21" ht="18" customHeight="1" x14ac:dyDescent="0.15">
      <c r="A53" s="58"/>
      <c r="B53" s="40"/>
      <c r="C53" s="40" t="s">
        <v>149</v>
      </c>
      <c r="D53" s="42"/>
      <c r="E53" s="40"/>
      <c r="F53" s="40"/>
      <c r="G53" s="29"/>
      <c r="H53" s="30">
        <v>190000</v>
      </c>
      <c r="I53" s="31"/>
      <c r="J53" s="29"/>
      <c r="K53" s="30">
        <v>116000</v>
      </c>
      <c r="L53" s="272"/>
      <c r="M53" s="271">
        <v>116000</v>
      </c>
      <c r="N53" s="46"/>
      <c r="O53" s="46"/>
      <c r="P53" s="47"/>
      <c r="Q53" s="155"/>
      <c r="R53" s="155">
        <f t="shared" si="3"/>
        <v>116000</v>
      </c>
      <c r="S53" s="155"/>
      <c r="T53" s="155"/>
    </row>
    <row r="54" spans="1:21" ht="18" customHeight="1" x14ac:dyDescent="0.15">
      <c r="A54" s="58"/>
      <c r="B54" s="40"/>
      <c r="C54" s="40" t="s">
        <v>150</v>
      </c>
      <c r="D54" s="42"/>
      <c r="E54" s="40"/>
      <c r="F54" s="40"/>
      <c r="G54" s="29"/>
      <c r="H54" s="30">
        <v>24000</v>
      </c>
      <c r="I54" s="31"/>
      <c r="J54" s="29"/>
      <c r="K54" s="30">
        <f t="shared" ref="K54" si="5">M54+N54+O54+P54</f>
        <v>24000</v>
      </c>
      <c r="L54" s="272"/>
      <c r="M54" s="271">
        <v>24000</v>
      </c>
      <c r="N54" s="46"/>
      <c r="O54" s="46"/>
      <c r="P54" s="47"/>
      <c r="Q54" s="155"/>
      <c r="R54" s="155">
        <f t="shared" si="3"/>
        <v>24000</v>
      </c>
      <c r="S54" s="155"/>
      <c r="T54" s="155"/>
    </row>
    <row r="55" spans="1:21" ht="18" customHeight="1" x14ac:dyDescent="0.15">
      <c r="A55" s="58"/>
      <c r="B55" s="40"/>
      <c r="C55" s="372" t="s">
        <v>151</v>
      </c>
      <c r="D55" s="372"/>
      <c r="E55" s="372"/>
      <c r="F55" s="40"/>
      <c r="G55" s="29"/>
      <c r="H55" s="30">
        <v>0</v>
      </c>
      <c r="I55" s="31"/>
      <c r="J55" s="29"/>
      <c r="K55" s="30">
        <f>M55</f>
        <v>0</v>
      </c>
      <c r="L55" s="272"/>
      <c r="M55" s="271"/>
      <c r="N55" s="46"/>
      <c r="O55" s="46"/>
      <c r="P55" s="47"/>
      <c r="Q55" s="155"/>
      <c r="R55" s="155">
        <f t="shared" si="3"/>
        <v>0</v>
      </c>
      <c r="S55" s="155"/>
      <c r="T55" s="155"/>
    </row>
    <row r="56" spans="1:21" ht="18" customHeight="1" x14ac:dyDescent="0.15">
      <c r="A56" s="58"/>
      <c r="B56" s="40"/>
      <c r="C56" s="40" t="s">
        <v>152</v>
      </c>
      <c r="D56" s="42"/>
      <c r="E56" s="40"/>
      <c r="F56" s="40"/>
      <c r="G56" s="29"/>
      <c r="H56" s="30">
        <v>940000</v>
      </c>
      <c r="I56" s="31"/>
      <c r="J56" s="29"/>
      <c r="K56" s="30">
        <v>1810000</v>
      </c>
      <c r="L56" s="272"/>
      <c r="M56" s="271">
        <v>1810000</v>
      </c>
      <c r="N56" s="46"/>
      <c r="O56" s="46"/>
      <c r="P56" s="47"/>
      <c r="Q56" s="155"/>
      <c r="R56" s="155">
        <f t="shared" si="3"/>
        <v>1810000</v>
      </c>
      <c r="S56" s="155"/>
      <c r="T56" s="155"/>
    </row>
    <row r="57" spans="1:21" ht="18" customHeight="1" x14ac:dyDescent="0.15">
      <c r="A57" s="58"/>
      <c r="B57" s="40"/>
      <c r="C57" s="40" t="s">
        <v>155</v>
      </c>
      <c r="D57" s="42"/>
      <c r="E57" s="40"/>
      <c r="F57" s="40"/>
      <c r="G57" s="29"/>
      <c r="H57" s="30">
        <v>520000</v>
      </c>
      <c r="I57" s="31"/>
      <c r="J57" s="29"/>
      <c r="K57" s="30">
        <v>760000</v>
      </c>
      <c r="L57" s="272"/>
      <c r="M57" s="271">
        <v>760000</v>
      </c>
      <c r="N57" s="46"/>
      <c r="O57" s="46"/>
      <c r="P57" s="47"/>
      <c r="Q57" s="155"/>
      <c r="R57" s="155">
        <f t="shared" si="3"/>
        <v>760000</v>
      </c>
      <c r="S57" s="155"/>
      <c r="T57" s="155"/>
    </row>
    <row r="58" spans="1:21" ht="18" customHeight="1" x14ac:dyDescent="0.15">
      <c r="A58" s="58"/>
      <c r="B58" s="40"/>
      <c r="C58" s="40" t="s">
        <v>156</v>
      </c>
      <c r="D58" s="42"/>
      <c r="E58" s="40"/>
      <c r="F58" s="40"/>
      <c r="G58" s="29"/>
      <c r="H58" s="30">
        <v>10000</v>
      </c>
      <c r="I58" s="31"/>
      <c r="J58" s="29"/>
      <c r="K58" s="30">
        <v>0</v>
      </c>
      <c r="L58" s="272"/>
      <c r="M58" s="271">
        <v>0</v>
      </c>
      <c r="N58" s="46"/>
      <c r="O58" s="46"/>
      <c r="P58" s="47"/>
      <c r="Q58" s="155"/>
      <c r="R58" s="155">
        <f t="shared" si="3"/>
        <v>0</v>
      </c>
      <c r="S58" s="155"/>
      <c r="T58" s="155"/>
    </row>
    <row r="59" spans="1:21" ht="18" customHeight="1" x14ac:dyDescent="0.15">
      <c r="A59" s="58"/>
      <c r="B59" s="40"/>
      <c r="C59" s="40" t="s">
        <v>158</v>
      </c>
      <c r="D59" s="42"/>
      <c r="E59" s="40"/>
      <c r="F59" s="40"/>
      <c r="G59" s="29"/>
      <c r="H59" s="30">
        <v>291550</v>
      </c>
      <c r="I59" s="31"/>
      <c r="J59" s="29"/>
      <c r="K59" s="30">
        <v>312550</v>
      </c>
      <c r="L59" s="272"/>
      <c r="M59" s="271">
        <v>312550</v>
      </c>
      <c r="N59" s="46"/>
      <c r="O59" s="46"/>
      <c r="P59" s="47"/>
      <c r="Q59" s="155"/>
      <c r="R59" s="155">
        <f t="shared" si="3"/>
        <v>312550</v>
      </c>
      <c r="S59" s="155">
        <f>SUM(R52:R59)</f>
        <v>3052550</v>
      </c>
      <c r="T59" s="155"/>
      <c r="U59" s="1">
        <v>3052550</v>
      </c>
    </row>
    <row r="60" spans="1:21" ht="18" customHeight="1" x14ac:dyDescent="0.15">
      <c r="A60" s="58"/>
      <c r="B60" s="366" t="s">
        <v>43</v>
      </c>
      <c r="C60" s="367"/>
      <c r="D60" s="367"/>
      <c r="E60" s="367"/>
      <c r="F60" s="368"/>
      <c r="G60" s="29" t="s">
        <v>171</v>
      </c>
      <c r="H60" s="30">
        <f>SUM(H61:H73)</f>
        <v>6971000</v>
      </c>
      <c r="I60" s="31" t="s">
        <v>172</v>
      </c>
      <c r="J60" s="29" t="s">
        <v>171</v>
      </c>
      <c r="K60" s="30">
        <f>SUM(K61:K73)</f>
        <v>4645000</v>
      </c>
      <c r="L60" s="31" t="s">
        <v>172</v>
      </c>
      <c r="M60" s="154"/>
      <c r="N60" s="46"/>
      <c r="O60" s="46"/>
      <c r="P60" s="47"/>
      <c r="Q60" s="155"/>
      <c r="R60" s="328">
        <f>SUM(R62:R73)</f>
        <v>4645000</v>
      </c>
      <c r="S60" s="155"/>
      <c r="T60" s="155"/>
    </row>
    <row r="61" spans="1:21" ht="18" customHeight="1" x14ac:dyDescent="0.15">
      <c r="A61" s="58"/>
      <c r="B61" s="40"/>
      <c r="C61" s="40" t="s">
        <v>147</v>
      </c>
      <c r="D61" s="42"/>
      <c r="E61" s="40"/>
      <c r="F61" s="40"/>
      <c r="G61" s="29"/>
      <c r="H61" s="30">
        <v>240000</v>
      </c>
      <c r="I61" s="31"/>
      <c r="J61" s="29"/>
      <c r="K61" s="30">
        <v>0</v>
      </c>
      <c r="L61" s="272"/>
      <c r="M61" s="271">
        <v>0</v>
      </c>
      <c r="N61" s="46"/>
      <c r="O61" s="46"/>
      <c r="P61" s="47"/>
      <c r="Q61" s="155"/>
      <c r="R61" s="155">
        <f t="shared" si="3"/>
        <v>0</v>
      </c>
      <c r="S61" s="155"/>
      <c r="T61" s="155"/>
    </row>
    <row r="62" spans="1:21" ht="18" customHeight="1" x14ac:dyDescent="0.15">
      <c r="A62" s="58"/>
      <c r="B62" s="40"/>
      <c r="C62" s="40" t="s">
        <v>148</v>
      </c>
      <c r="D62" s="42"/>
      <c r="E62" s="40"/>
      <c r="F62" s="40"/>
      <c r="G62" s="29"/>
      <c r="H62" s="30">
        <v>70000</v>
      </c>
      <c r="I62" s="31"/>
      <c r="J62" s="29"/>
      <c r="K62" s="30">
        <v>0</v>
      </c>
      <c r="L62" s="272"/>
      <c r="M62" s="271">
        <v>0</v>
      </c>
      <c r="N62" s="46"/>
      <c r="O62" s="46"/>
      <c r="P62" s="47"/>
      <c r="Q62" s="155"/>
      <c r="R62" s="155">
        <f t="shared" si="3"/>
        <v>0</v>
      </c>
      <c r="S62" s="155"/>
      <c r="T62" s="155"/>
    </row>
    <row r="63" spans="1:21" ht="18" customHeight="1" x14ac:dyDescent="0.15">
      <c r="A63" s="58"/>
      <c r="B63" s="40"/>
      <c r="C63" s="40" t="s">
        <v>149</v>
      </c>
      <c r="D63" s="42"/>
      <c r="E63" s="40"/>
      <c r="F63" s="40"/>
      <c r="G63" s="29"/>
      <c r="H63" s="30">
        <v>488000</v>
      </c>
      <c r="I63" s="31"/>
      <c r="J63" s="29"/>
      <c r="K63" s="30">
        <v>310000</v>
      </c>
      <c r="L63" s="272"/>
      <c r="M63" s="271">
        <v>310000</v>
      </c>
      <c r="N63" s="46"/>
      <c r="O63" s="46"/>
      <c r="P63" s="47"/>
      <c r="Q63" s="155"/>
      <c r="R63" s="155">
        <f t="shared" si="3"/>
        <v>310000</v>
      </c>
      <c r="S63" s="155"/>
      <c r="T63" s="155"/>
    </row>
    <row r="64" spans="1:21" ht="18" customHeight="1" x14ac:dyDescent="0.15">
      <c r="A64" s="58"/>
      <c r="B64" s="40"/>
      <c r="C64" s="40" t="s">
        <v>150</v>
      </c>
      <c r="D64" s="42"/>
      <c r="E64" s="40"/>
      <c r="F64" s="40"/>
      <c r="G64" s="29"/>
      <c r="H64" s="30">
        <v>930000</v>
      </c>
      <c r="I64" s="31"/>
      <c r="J64" s="29"/>
      <c r="K64" s="30">
        <v>960000</v>
      </c>
      <c r="L64" s="272"/>
      <c r="M64" s="271">
        <v>960000</v>
      </c>
      <c r="N64" s="46"/>
      <c r="O64" s="46"/>
      <c r="P64" s="47"/>
      <c r="Q64" s="155"/>
      <c r="R64" s="155">
        <f t="shared" si="3"/>
        <v>960000</v>
      </c>
      <c r="S64" s="155"/>
      <c r="T64" s="155"/>
    </row>
    <row r="65" spans="1:21" ht="18" customHeight="1" x14ac:dyDescent="0.15">
      <c r="A65" s="58"/>
      <c r="B65" s="40"/>
      <c r="C65" s="40" t="s">
        <v>151</v>
      </c>
      <c r="D65" s="42"/>
      <c r="E65" s="40"/>
      <c r="F65" s="40"/>
      <c r="G65" s="29"/>
      <c r="H65" s="30">
        <v>110000</v>
      </c>
      <c r="I65" s="31"/>
      <c r="J65" s="29"/>
      <c r="K65" s="30">
        <v>40000</v>
      </c>
      <c r="L65" s="272"/>
      <c r="M65" s="271">
        <v>40000</v>
      </c>
      <c r="N65" s="46"/>
      <c r="O65" s="46"/>
      <c r="P65" s="47"/>
      <c r="Q65" s="155"/>
      <c r="R65" s="155">
        <f t="shared" si="3"/>
        <v>40000</v>
      </c>
      <c r="S65" s="155"/>
      <c r="T65" s="155"/>
    </row>
    <row r="66" spans="1:21" ht="18" customHeight="1" x14ac:dyDescent="0.15">
      <c r="A66" s="58"/>
      <c r="B66" s="40"/>
      <c r="C66" s="40" t="s">
        <v>152</v>
      </c>
      <c r="D66" s="42"/>
      <c r="E66" s="40"/>
      <c r="F66" s="40"/>
      <c r="G66" s="29"/>
      <c r="H66" s="30">
        <v>700000</v>
      </c>
      <c r="I66" s="31"/>
      <c r="J66" s="29"/>
      <c r="K66" s="30">
        <v>50000</v>
      </c>
      <c r="L66" s="272"/>
      <c r="M66" s="271">
        <v>50000</v>
      </c>
      <c r="N66" s="46"/>
      <c r="O66" s="46"/>
      <c r="P66" s="47"/>
      <c r="Q66" s="155"/>
      <c r="R66" s="155">
        <f t="shared" si="3"/>
        <v>50000</v>
      </c>
      <c r="S66" s="155"/>
      <c r="T66" s="155"/>
    </row>
    <row r="67" spans="1:21" ht="18" customHeight="1" x14ac:dyDescent="0.15">
      <c r="A67" s="58"/>
      <c r="B67" s="40"/>
      <c r="C67" s="366" t="s">
        <v>153</v>
      </c>
      <c r="D67" s="367"/>
      <c r="E67" s="367"/>
      <c r="F67" s="40"/>
      <c r="G67" s="29"/>
      <c r="H67" s="30">
        <v>1000000</v>
      </c>
      <c r="I67" s="31"/>
      <c r="J67" s="29"/>
      <c r="K67" s="30">
        <v>0</v>
      </c>
      <c r="L67" s="272"/>
      <c r="M67" s="271">
        <v>0</v>
      </c>
      <c r="N67" s="46"/>
      <c r="O67" s="46"/>
      <c r="P67" s="47"/>
      <c r="Q67" s="155"/>
      <c r="R67" s="155">
        <f t="shared" si="3"/>
        <v>0</v>
      </c>
      <c r="S67" s="155"/>
      <c r="T67" s="155"/>
    </row>
    <row r="68" spans="1:21" ht="18" customHeight="1" x14ac:dyDescent="0.15">
      <c r="A68" s="58"/>
      <c r="B68" s="40"/>
      <c r="C68" s="40" t="s">
        <v>160</v>
      </c>
      <c r="D68" s="42"/>
      <c r="E68" s="40"/>
      <c r="F68" s="40"/>
      <c r="G68" s="29"/>
      <c r="H68" s="30">
        <v>301000</v>
      </c>
      <c r="I68" s="31"/>
      <c r="J68" s="29"/>
      <c r="K68" s="30">
        <v>350000</v>
      </c>
      <c r="L68" s="272"/>
      <c r="M68" s="271">
        <v>350000</v>
      </c>
      <c r="N68" s="46"/>
      <c r="O68" s="46"/>
      <c r="P68" s="47"/>
      <c r="Q68" s="155"/>
      <c r="R68" s="155">
        <f t="shared" si="3"/>
        <v>350000</v>
      </c>
      <c r="S68" s="155"/>
      <c r="T68" s="155"/>
    </row>
    <row r="69" spans="1:21" ht="18" customHeight="1" x14ac:dyDescent="0.15">
      <c r="A69" s="58"/>
      <c r="B69" s="40"/>
      <c r="C69" s="40" t="s">
        <v>155</v>
      </c>
      <c r="D69" s="42"/>
      <c r="E69" s="40"/>
      <c r="F69" s="40"/>
      <c r="G69" s="29"/>
      <c r="H69" s="30">
        <v>2914000</v>
      </c>
      <c r="I69" s="31"/>
      <c r="J69" s="29"/>
      <c r="K69" s="30">
        <v>2700000</v>
      </c>
      <c r="L69" s="272"/>
      <c r="M69" s="271">
        <v>2700000</v>
      </c>
      <c r="N69" s="46"/>
      <c r="O69" s="46"/>
      <c r="P69" s="47"/>
      <c r="Q69" s="155"/>
      <c r="R69" s="155">
        <f t="shared" si="3"/>
        <v>2700000</v>
      </c>
      <c r="S69" s="155"/>
      <c r="T69" s="155"/>
    </row>
    <row r="70" spans="1:21" ht="18" customHeight="1" x14ac:dyDescent="0.15">
      <c r="A70" s="58"/>
      <c r="B70" s="40"/>
      <c r="C70" s="40" t="s">
        <v>156</v>
      </c>
      <c r="D70" s="42"/>
      <c r="E70" s="40"/>
      <c r="F70" s="40"/>
      <c r="G70" s="29"/>
      <c r="H70" s="30">
        <v>100000</v>
      </c>
      <c r="I70" s="31"/>
      <c r="J70" s="29"/>
      <c r="K70" s="30">
        <v>50000</v>
      </c>
      <c r="L70" s="272"/>
      <c r="M70" s="271">
        <v>50000</v>
      </c>
      <c r="N70" s="46"/>
      <c r="O70" s="46"/>
      <c r="P70" s="47"/>
      <c r="Q70" s="155"/>
      <c r="R70" s="155">
        <f t="shared" si="3"/>
        <v>50000</v>
      </c>
      <c r="S70" s="155"/>
      <c r="T70" s="155"/>
    </row>
    <row r="71" spans="1:21" ht="18" customHeight="1" x14ac:dyDescent="0.15">
      <c r="A71" s="58"/>
      <c r="B71" s="40"/>
      <c r="C71" s="40" t="s">
        <v>158</v>
      </c>
      <c r="D71" s="42"/>
      <c r="E71" s="40"/>
      <c r="F71" s="40"/>
      <c r="G71" s="29"/>
      <c r="H71" s="30">
        <v>33000</v>
      </c>
      <c r="I71" s="31"/>
      <c r="J71" s="29"/>
      <c r="K71" s="30">
        <v>85000</v>
      </c>
      <c r="L71" s="272"/>
      <c r="M71" s="271">
        <v>85000</v>
      </c>
      <c r="N71" s="46"/>
      <c r="O71" s="46"/>
      <c r="P71" s="47"/>
      <c r="Q71" s="155"/>
      <c r="R71" s="155">
        <f t="shared" si="3"/>
        <v>85000</v>
      </c>
      <c r="S71" s="155"/>
      <c r="T71" s="155"/>
    </row>
    <row r="72" spans="1:21" ht="18" customHeight="1" x14ac:dyDescent="0.15">
      <c r="A72" s="58"/>
      <c r="B72" s="40"/>
      <c r="C72" s="40" t="s">
        <v>170</v>
      </c>
      <c r="D72" s="42"/>
      <c r="E72" s="40"/>
      <c r="F72" s="40"/>
      <c r="G72" s="29"/>
      <c r="H72" s="30">
        <v>5000</v>
      </c>
      <c r="I72" s="31"/>
      <c r="J72" s="29"/>
      <c r="K72" s="30">
        <v>0</v>
      </c>
      <c r="L72" s="272"/>
      <c r="M72" s="271">
        <v>0</v>
      </c>
      <c r="N72" s="46"/>
      <c r="O72" s="46"/>
      <c r="P72" s="47"/>
      <c r="Q72" s="155"/>
      <c r="R72" s="155">
        <f t="shared" si="3"/>
        <v>0</v>
      </c>
      <c r="S72" s="155"/>
      <c r="T72" s="155"/>
    </row>
    <row r="73" spans="1:21" ht="18" customHeight="1" x14ac:dyDescent="0.15">
      <c r="A73" s="58"/>
      <c r="B73" s="40"/>
      <c r="C73" s="40" t="s">
        <v>159</v>
      </c>
      <c r="D73" s="42"/>
      <c r="E73" s="40"/>
      <c r="F73" s="40"/>
      <c r="G73" s="29"/>
      <c r="H73" s="30">
        <v>80000</v>
      </c>
      <c r="I73" s="31"/>
      <c r="J73" s="29"/>
      <c r="K73" s="30">
        <v>100000</v>
      </c>
      <c r="L73" s="272"/>
      <c r="M73" s="271">
        <v>100000</v>
      </c>
      <c r="N73" s="46"/>
      <c r="O73" s="46"/>
      <c r="P73" s="47"/>
      <c r="Q73" s="155"/>
      <c r="R73" s="155">
        <f t="shared" si="3"/>
        <v>100000</v>
      </c>
      <c r="S73" s="155">
        <f>SUM(R61:R73)</f>
        <v>4645000</v>
      </c>
      <c r="T73" s="155"/>
      <c r="U73" s="1">
        <v>4645000</v>
      </c>
    </row>
    <row r="74" spans="1:21" ht="18" customHeight="1" x14ac:dyDescent="0.15">
      <c r="A74" s="58"/>
      <c r="B74" s="366" t="s">
        <v>44</v>
      </c>
      <c r="C74" s="367"/>
      <c r="D74" s="367"/>
      <c r="E74" s="367"/>
      <c r="F74" s="368"/>
      <c r="G74" s="29" t="s">
        <v>171</v>
      </c>
      <c r="H74" s="30">
        <f>H75</f>
        <v>80000</v>
      </c>
      <c r="I74" s="31" t="s">
        <v>172</v>
      </c>
      <c r="J74" s="29" t="s">
        <v>171</v>
      </c>
      <c r="K74" s="30">
        <f>K75</f>
        <v>0</v>
      </c>
      <c r="L74" s="31" t="s">
        <v>172</v>
      </c>
      <c r="M74" s="154"/>
      <c r="N74" s="46"/>
      <c r="O74" s="46"/>
      <c r="P74" s="47"/>
      <c r="Q74" s="155"/>
      <c r="R74" s="155">
        <f t="shared" si="3"/>
        <v>0</v>
      </c>
      <c r="S74" s="155"/>
      <c r="T74" s="155"/>
    </row>
    <row r="75" spans="1:21" ht="18" customHeight="1" x14ac:dyDescent="0.15">
      <c r="A75" s="58"/>
      <c r="B75" s="40"/>
      <c r="C75" s="255" t="s">
        <v>149</v>
      </c>
      <c r="D75" s="255"/>
      <c r="E75" s="255"/>
      <c r="F75" s="255"/>
      <c r="G75" s="29"/>
      <c r="H75" s="30">
        <v>80000</v>
      </c>
      <c r="I75" s="31"/>
      <c r="J75" s="29"/>
      <c r="K75" s="30">
        <f>M75+N75+O75+P75</f>
        <v>0</v>
      </c>
      <c r="L75" s="31"/>
      <c r="M75" s="154"/>
      <c r="N75" s="46"/>
      <c r="O75" s="46"/>
      <c r="P75" s="47"/>
      <c r="Q75" s="155"/>
      <c r="R75" s="155">
        <f t="shared" si="3"/>
        <v>0</v>
      </c>
      <c r="S75" s="155"/>
      <c r="T75" s="155"/>
    </row>
    <row r="76" spans="1:21" ht="18" customHeight="1" x14ac:dyDescent="0.15">
      <c r="A76" s="58"/>
      <c r="B76" s="366" t="s">
        <v>45</v>
      </c>
      <c r="C76" s="367"/>
      <c r="D76" s="367"/>
      <c r="E76" s="367"/>
      <c r="F76" s="368"/>
      <c r="G76" s="29" t="s">
        <v>162</v>
      </c>
      <c r="H76" s="30">
        <f>SUM(H77:H86)</f>
        <v>17551100</v>
      </c>
      <c r="I76" s="31" t="s">
        <v>172</v>
      </c>
      <c r="J76" s="29" t="s">
        <v>171</v>
      </c>
      <c r="K76" s="30">
        <f>SUM(K77:K86)</f>
        <v>18858647</v>
      </c>
      <c r="L76" s="31" t="s">
        <v>172</v>
      </c>
      <c r="M76" s="154"/>
      <c r="N76" s="46"/>
      <c r="O76" s="46"/>
      <c r="P76" s="47"/>
      <c r="Q76" s="155"/>
      <c r="R76" s="328">
        <f>SUM(R77:R86)</f>
        <v>18858647</v>
      </c>
      <c r="S76" s="155"/>
      <c r="T76" s="155"/>
    </row>
    <row r="77" spans="1:21" ht="18" customHeight="1" x14ac:dyDescent="0.15">
      <c r="A77" s="58"/>
      <c r="B77" s="40"/>
      <c r="C77" s="256" t="s">
        <v>161</v>
      </c>
      <c r="D77" s="256"/>
      <c r="E77" s="256"/>
      <c r="F77" s="220"/>
      <c r="G77" s="29"/>
      <c r="H77" s="30">
        <v>13485600</v>
      </c>
      <c r="I77" s="31"/>
      <c r="J77" s="29"/>
      <c r="K77" s="30">
        <v>13362165</v>
      </c>
      <c r="L77" s="31"/>
      <c r="M77" s="154"/>
      <c r="N77" s="46"/>
      <c r="O77" s="46">
        <v>13362165</v>
      </c>
      <c r="P77" s="47"/>
      <c r="Q77" s="155"/>
      <c r="R77" s="155">
        <f t="shared" si="3"/>
        <v>13362165</v>
      </c>
      <c r="S77" s="155"/>
      <c r="T77" s="155"/>
    </row>
    <row r="78" spans="1:21" ht="18" customHeight="1" x14ac:dyDescent="0.15">
      <c r="A78" s="58"/>
      <c r="B78" s="40"/>
      <c r="C78" s="40" t="s">
        <v>147</v>
      </c>
      <c r="D78" s="42"/>
      <c r="E78" s="40"/>
      <c r="F78" s="40"/>
      <c r="G78" s="29"/>
      <c r="H78" s="30">
        <v>1056000</v>
      </c>
      <c r="I78" s="31"/>
      <c r="J78" s="29"/>
      <c r="K78" s="30">
        <v>964665</v>
      </c>
      <c r="L78" s="31"/>
      <c r="M78" s="154"/>
      <c r="N78" s="46"/>
      <c r="O78" s="46">
        <v>964665</v>
      </c>
      <c r="P78" s="47"/>
      <c r="Q78" s="155"/>
      <c r="R78" s="155">
        <f t="shared" si="3"/>
        <v>964665</v>
      </c>
      <c r="S78" s="155"/>
      <c r="T78" s="155"/>
    </row>
    <row r="79" spans="1:21" ht="18" customHeight="1" x14ac:dyDescent="0.15">
      <c r="A79" s="58"/>
      <c r="B79" s="40"/>
      <c r="C79" s="40" t="s">
        <v>148</v>
      </c>
      <c r="D79" s="42"/>
      <c r="E79" s="40"/>
      <c r="F79" s="40"/>
      <c r="G79" s="29"/>
      <c r="H79" s="30">
        <v>34000</v>
      </c>
      <c r="I79" s="31"/>
      <c r="J79" s="29"/>
      <c r="K79" s="30">
        <v>208000</v>
      </c>
      <c r="L79" s="31"/>
      <c r="M79" s="154"/>
      <c r="N79" s="46"/>
      <c r="O79" s="46">
        <v>208000</v>
      </c>
      <c r="P79" s="47"/>
      <c r="Q79" s="155"/>
      <c r="R79" s="155">
        <f t="shared" si="3"/>
        <v>208000</v>
      </c>
      <c r="S79" s="155"/>
      <c r="T79" s="155"/>
    </row>
    <row r="80" spans="1:21" ht="18" customHeight="1" x14ac:dyDescent="0.15">
      <c r="A80" s="58"/>
      <c r="B80" s="40"/>
      <c r="C80" s="40" t="s">
        <v>149</v>
      </c>
      <c r="D80" s="42"/>
      <c r="E80" s="40"/>
      <c r="F80" s="40"/>
      <c r="G80" s="29"/>
      <c r="H80" s="30">
        <v>1178500</v>
      </c>
      <c r="I80" s="31"/>
      <c r="J80" s="29"/>
      <c r="K80" s="223">
        <v>2000717</v>
      </c>
      <c r="L80" s="31"/>
      <c r="M80" s="154"/>
      <c r="N80" s="46"/>
      <c r="O80" s="46">
        <v>2000717</v>
      </c>
      <c r="P80" s="47"/>
      <c r="Q80" s="155"/>
      <c r="R80" s="155">
        <f t="shared" si="3"/>
        <v>2000717</v>
      </c>
      <c r="S80" s="155"/>
      <c r="T80" s="155"/>
    </row>
    <row r="81" spans="1:21" ht="18" customHeight="1" x14ac:dyDescent="0.15">
      <c r="A81" s="58"/>
      <c r="B81" s="40"/>
      <c r="C81" s="40" t="s">
        <v>150</v>
      </c>
      <c r="D81" s="42"/>
      <c r="E81" s="40"/>
      <c r="F81" s="40"/>
      <c r="G81" s="29"/>
      <c r="H81" s="30">
        <v>255000</v>
      </c>
      <c r="I81" s="31"/>
      <c r="J81" s="29"/>
      <c r="K81" s="30">
        <v>202000</v>
      </c>
      <c r="L81" s="31"/>
      <c r="M81" s="154"/>
      <c r="N81" s="46"/>
      <c r="O81" s="46">
        <v>202000</v>
      </c>
      <c r="P81" s="47"/>
      <c r="Q81" s="155"/>
      <c r="R81" s="155">
        <f t="shared" si="3"/>
        <v>202000</v>
      </c>
      <c r="S81" s="155"/>
      <c r="T81" s="155"/>
    </row>
    <row r="82" spans="1:21" ht="18" customHeight="1" x14ac:dyDescent="0.15">
      <c r="A82" s="58"/>
      <c r="B82" s="40"/>
      <c r="C82" s="40" t="s">
        <v>151</v>
      </c>
      <c r="D82" s="42"/>
      <c r="E82" s="40"/>
      <c r="F82" s="40"/>
      <c r="G82" s="29"/>
      <c r="H82" s="30">
        <v>980000</v>
      </c>
      <c r="I82" s="31"/>
      <c r="J82" s="29"/>
      <c r="K82" s="30">
        <v>1130000</v>
      </c>
      <c r="L82" s="31"/>
      <c r="M82" s="154"/>
      <c r="N82" s="46"/>
      <c r="O82" s="46">
        <v>1130000</v>
      </c>
      <c r="P82" s="47"/>
      <c r="Q82" s="155"/>
      <c r="R82" s="155">
        <f t="shared" si="3"/>
        <v>1130000</v>
      </c>
      <c r="S82" s="155"/>
      <c r="T82" s="155"/>
    </row>
    <row r="83" spans="1:21" ht="18" customHeight="1" x14ac:dyDescent="0.15">
      <c r="A83" s="58"/>
      <c r="B83" s="40"/>
      <c r="C83" s="366" t="s">
        <v>152</v>
      </c>
      <c r="D83" s="367"/>
      <c r="E83" s="367"/>
      <c r="F83" s="40"/>
      <c r="G83" s="29"/>
      <c r="H83" s="30">
        <v>100000</v>
      </c>
      <c r="I83" s="31"/>
      <c r="J83" s="29"/>
      <c r="K83" s="30">
        <v>200000</v>
      </c>
      <c r="L83" s="31"/>
      <c r="M83" s="154"/>
      <c r="N83" s="46"/>
      <c r="O83" s="46">
        <v>200000</v>
      </c>
      <c r="P83" s="47"/>
      <c r="Q83" s="155"/>
      <c r="R83" s="155">
        <f t="shared" si="3"/>
        <v>200000</v>
      </c>
      <c r="S83" s="155"/>
      <c r="T83" s="155"/>
    </row>
    <row r="84" spans="1:21" ht="18" customHeight="1" x14ac:dyDescent="0.15">
      <c r="A84" s="58"/>
      <c r="B84" s="40"/>
      <c r="C84" s="40" t="s">
        <v>153</v>
      </c>
      <c r="D84" s="42"/>
      <c r="E84" s="40"/>
      <c r="F84" s="40"/>
      <c r="G84" s="29"/>
      <c r="H84" s="30">
        <v>332000</v>
      </c>
      <c r="I84" s="31"/>
      <c r="J84" s="29"/>
      <c r="K84" s="30">
        <v>320000</v>
      </c>
      <c r="L84" s="31"/>
      <c r="M84" s="154"/>
      <c r="N84" s="46"/>
      <c r="O84" s="46">
        <v>320000</v>
      </c>
      <c r="P84" s="47"/>
      <c r="Q84" s="155"/>
      <c r="R84" s="155">
        <f t="shared" si="3"/>
        <v>320000</v>
      </c>
      <c r="S84" s="155"/>
      <c r="T84" s="155"/>
    </row>
    <row r="85" spans="1:21" ht="18" customHeight="1" x14ac:dyDescent="0.15">
      <c r="A85" s="58"/>
      <c r="B85" s="40"/>
      <c r="C85" s="40" t="s">
        <v>155</v>
      </c>
      <c r="D85" s="42"/>
      <c r="E85" s="40"/>
      <c r="F85" s="40"/>
      <c r="G85" s="29"/>
      <c r="H85" s="30">
        <v>70000</v>
      </c>
      <c r="I85" s="31"/>
      <c r="J85" s="29"/>
      <c r="K85" s="30">
        <v>330000</v>
      </c>
      <c r="L85" s="31"/>
      <c r="M85" s="154"/>
      <c r="N85" s="46"/>
      <c r="O85" s="46">
        <v>330000</v>
      </c>
      <c r="P85" s="47"/>
      <c r="Q85" s="155"/>
      <c r="R85" s="155">
        <f t="shared" si="3"/>
        <v>330000</v>
      </c>
      <c r="S85" s="155"/>
      <c r="T85" s="155"/>
    </row>
    <row r="86" spans="1:21" ht="18" customHeight="1" x14ac:dyDescent="0.15">
      <c r="A86" s="58"/>
      <c r="B86" s="40"/>
      <c r="C86" s="40" t="s">
        <v>158</v>
      </c>
      <c r="D86" s="42"/>
      <c r="E86" s="40"/>
      <c r="F86" s="40"/>
      <c r="G86" s="29"/>
      <c r="H86" s="30">
        <v>60000</v>
      </c>
      <c r="I86" s="31"/>
      <c r="J86" s="29"/>
      <c r="K86" s="30">
        <v>141100</v>
      </c>
      <c r="L86" s="31"/>
      <c r="M86" s="154"/>
      <c r="N86" s="46"/>
      <c r="O86" s="46">
        <v>141100</v>
      </c>
      <c r="P86" s="47"/>
      <c r="Q86" s="155"/>
      <c r="R86" s="155">
        <f t="shared" si="3"/>
        <v>141100</v>
      </c>
      <c r="S86" s="155">
        <f>SUM(R77:R86)</f>
        <v>18858647</v>
      </c>
      <c r="T86" s="155"/>
      <c r="U86" s="1">
        <v>18858647</v>
      </c>
    </row>
    <row r="87" spans="1:21" ht="18" customHeight="1" x14ac:dyDescent="0.15">
      <c r="A87" s="58"/>
      <c r="B87" s="40" t="s">
        <v>80</v>
      </c>
      <c r="C87" s="40"/>
      <c r="D87" s="42"/>
      <c r="E87" s="40"/>
      <c r="F87" s="40"/>
      <c r="G87" s="29" t="s">
        <v>21</v>
      </c>
      <c r="H87" s="30">
        <f>SUM(H88:H111)</f>
        <v>28005316</v>
      </c>
      <c r="I87" s="31" t="s">
        <v>20</v>
      </c>
      <c r="J87" s="29" t="s">
        <v>21</v>
      </c>
      <c r="K87" s="30">
        <f>SUM(K88:K111)</f>
        <v>27003155</v>
      </c>
      <c r="L87" s="31" t="s">
        <v>22</v>
      </c>
      <c r="M87" s="154"/>
      <c r="N87" s="46"/>
      <c r="O87" s="46"/>
      <c r="P87" s="47"/>
      <c r="Q87" s="155"/>
      <c r="R87" s="155">
        <f t="shared" si="3"/>
        <v>0</v>
      </c>
      <c r="S87" s="155"/>
      <c r="T87" s="155"/>
    </row>
    <row r="88" spans="1:21" ht="18" customHeight="1" x14ac:dyDescent="0.15">
      <c r="A88" s="58"/>
      <c r="B88" s="40"/>
      <c r="C88" s="40" t="s">
        <v>47</v>
      </c>
      <c r="D88" s="42"/>
      <c r="E88" s="40"/>
      <c r="F88" s="40"/>
      <c r="G88" s="29"/>
      <c r="H88" s="30">
        <v>13600000</v>
      </c>
      <c r="I88" s="31"/>
      <c r="J88" s="29"/>
      <c r="K88" s="223">
        <f t="shared" ref="K88:K111" si="6">M88+N88+O88+P88</f>
        <v>13600000</v>
      </c>
      <c r="L88" s="31"/>
      <c r="M88" s="154">
        <v>10880000</v>
      </c>
      <c r="N88" s="46">
        <v>480000</v>
      </c>
      <c r="O88" s="46">
        <v>2240000</v>
      </c>
      <c r="P88" s="47"/>
      <c r="Q88" s="155"/>
      <c r="R88" s="155">
        <f t="shared" si="3"/>
        <v>13600000</v>
      </c>
      <c r="S88" s="155"/>
      <c r="T88" s="155"/>
    </row>
    <row r="89" spans="1:21" ht="18" customHeight="1" x14ac:dyDescent="0.15">
      <c r="A89" s="58"/>
      <c r="B89" s="40"/>
      <c r="C89" s="40" t="s">
        <v>146</v>
      </c>
      <c r="D89" s="42"/>
      <c r="E89" s="40"/>
      <c r="F89" s="40"/>
      <c r="G89" s="29"/>
      <c r="H89" s="30">
        <v>0</v>
      </c>
      <c r="I89" s="31"/>
      <c r="J89" s="29"/>
      <c r="K89" s="30">
        <f t="shared" si="6"/>
        <v>0</v>
      </c>
      <c r="L89" s="31"/>
      <c r="M89" s="154">
        <v>0</v>
      </c>
      <c r="N89" s="46"/>
      <c r="O89" s="46"/>
      <c r="P89" s="47"/>
      <c r="Q89" s="155"/>
      <c r="R89" s="155">
        <f t="shared" si="3"/>
        <v>0</v>
      </c>
      <c r="S89" s="155"/>
      <c r="T89" s="155"/>
    </row>
    <row r="90" spans="1:21" ht="18" customHeight="1" x14ac:dyDescent="0.15">
      <c r="A90" s="58"/>
      <c r="B90" s="40"/>
      <c r="C90" s="40" t="s">
        <v>48</v>
      </c>
      <c r="D90" s="42"/>
      <c r="E90" s="40"/>
      <c r="F90" s="40"/>
      <c r="G90" s="29"/>
      <c r="H90" s="30">
        <v>859988</v>
      </c>
      <c r="I90" s="31"/>
      <c r="J90" s="29"/>
      <c r="K90" s="30">
        <v>202513</v>
      </c>
      <c r="L90" s="31"/>
      <c r="M90" s="154">
        <v>162010</v>
      </c>
      <c r="N90" s="46">
        <v>7148</v>
      </c>
      <c r="O90" s="46">
        <v>33355</v>
      </c>
      <c r="P90" s="47"/>
      <c r="Q90" s="155"/>
      <c r="R90" s="155">
        <f t="shared" si="3"/>
        <v>202513</v>
      </c>
      <c r="S90" s="155"/>
      <c r="T90" s="155"/>
    </row>
    <row r="91" spans="1:21" ht="18" customHeight="1" x14ac:dyDescent="0.15">
      <c r="A91" s="58"/>
      <c r="B91" s="40"/>
      <c r="C91" s="40" t="s">
        <v>49</v>
      </c>
      <c r="D91" s="42"/>
      <c r="E91" s="40"/>
      <c r="F91" s="40"/>
      <c r="G91" s="29"/>
      <c r="H91" s="30">
        <v>1700000</v>
      </c>
      <c r="I91" s="31"/>
      <c r="J91" s="29"/>
      <c r="K91" s="30">
        <v>1870000</v>
      </c>
      <c r="L91" s="31"/>
      <c r="M91" s="154">
        <v>1496000</v>
      </c>
      <c r="N91" s="46">
        <v>66000</v>
      </c>
      <c r="O91" s="46">
        <v>308000</v>
      </c>
      <c r="P91" s="47"/>
      <c r="Q91" s="155"/>
      <c r="R91" s="155">
        <f t="shared" si="3"/>
        <v>1870000</v>
      </c>
      <c r="S91" s="155"/>
      <c r="T91" s="155"/>
    </row>
    <row r="92" spans="1:21" ht="18" customHeight="1" x14ac:dyDescent="0.15">
      <c r="A92" s="58"/>
      <c r="B92" s="40"/>
      <c r="C92" s="40" t="s">
        <v>50</v>
      </c>
      <c r="D92" s="42"/>
      <c r="E92" s="40"/>
      <c r="F92" s="40"/>
      <c r="G92" s="29"/>
      <c r="H92" s="30">
        <v>442850</v>
      </c>
      <c r="I92" s="31"/>
      <c r="J92" s="29"/>
      <c r="K92" s="30">
        <v>425850</v>
      </c>
      <c r="L92" s="31"/>
      <c r="M92" s="154">
        <v>340680</v>
      </c>
      <c r="N92" s="46">
        <v>15030</v>
      </c>
      <c r="O92" s="46">
        <v>70140</v>
      </c>
      <c r="P92" s="47"/>
      <c r="Q92" s="155"/>
      <c r="R92" s="155">
        <f t="shared" si="3"/>
        <v>425850</v>
      </c>
      <c r="S92" s="155"/>
      <c r="T92" s="155"/>
    </row>
    <row r="93" spans="1:21" ht="18" customHeight="1" x14ac:dyDescent="0.15">
      <c r="A93" s="58"/>
      <c r="B93" s="40"/>
      <c r="C93" s="40" t="s">
        <v>51</v>
      </c>
      <c r="D93" s="42"/>
      <c r="E93" s="40"/>
      <c r="F93" s="40"/>
      <c r="G93" s="29"/>
      <c r="H93" s="30">
        <v>1421200</v>
      </c>
      <c r="I93" s="31"/>
      <c r="J93" s="29"/>
      <c r="K93" s="30">
        <v>1265792</v>
      </c>
      <c r="L93" s="31"/>
      <c r="M93" s="154">
        <v>1012634</v>
      </c>
      <c r="N93" s="46">
        <v>44675</v>
      </c>
      <c r="O93" s="46">
        <v>208483</v>
      </c>
      <c r="P93" s="47"/>
      <c r="Q93" s="155"/>
      <c r="R93" s="155">
        <f t="shared" si="3"/>
        <v>1265792</v>
      </c>
      <c r="S93" s="155"/>
      <c r="T93" s="155"/>
    </row>
    <row r="94" spans="1:21" ht="18" customHeight="1" x14ac:dyDescent="0.15">
      <c r="A94" s="58"/>
      <c r="B94" s="40"/>
      <c r="C94" s="40" t="s">
        <v>52</v>
      </c>
      <c r="D94" s="42"/>
      <c r="E94" s="40"/>
      <c r="F94" s="40"/>
      <c r="G94" s="29"/>
      <c r="H94" s="30">
        <v>216308</v>
      </c>
      <c r="I94" s="31"/>
      <c r="J94" s="29"/>
      <c r="K94" s="30">
        <v>56100</v>
      </c>
      <c r="L94" s="272"/>
      <c r="M94" s="45">
        <v>44880</v>
      </c>
      <c r="N94" s="46">
        <v>1980</v>
      </c>
      <c r="O94" s="46">
        <v>9240</v>
      </c>
      <c r="P94" s="47"/>
      <c r="Q94" s="155"/>
      <c r="R94" s="155">
        <f t="shared" si="3"/>
        <v>56100</v>
      </c>
      <c r="S94" s="155"/>
      <c r="T94" s="155"/>
    </row>
    <row r="95" spans="1:21" ht="18" customHeight="1" x14ac:dyDescent="0.15">
      <c r="A95" s="58"/>
      <c r="B95" s="40"/>
      <c r="C95" s="40" t="s">
        <v>53</v>
      </c>
      <c r="D95" s="42"/>
      <c r="E95" s="40"/>
      <c r="F95" s="40"/>
      <c r="G95" s="29"/>
      <c r="H95" s="30">
        <v>85000</v>
      </c>
      <c r="I95" s="31"/>
      <c r="J95" s="29"/>
      <c r="K95" s="30">
        <v>85000</v>
      </c>
      <c r="L95" s="317"/>
      <c r="M95" s="4">
        <v>68000</v>
      </c>
      <c r="N95" s="46">
        <v>3000</v>
      </c>
      <c r="O95" s="46">
        <v>14000</v>
      </c>
      <c r="P95" s="47"/>
      <c r="Q95" s="155"/>
      <c r="R95" s="155">
        <f>SUM(L95:P95)</f>
        <v>85000</v>
      </c>
      <c r="S95" s="155"/>
      <c r="T95" s="155"/>
    </row>
    <row r="96" spans="1:21" ht="18" customHeight="1" x14ac:dyDescent="0.15">
      <c r="A96" s="58"/>
      <c r="B96" s="40"/>
      <c r="C96" s="40" t="s">
        <v>54</v>
      </c>
      <c r="D96" s="42"/>
      <c r="E96" s="40"/>
      <c r="F96" s="40"/>
      <c r="G96" s="29"/>
      <c r="H96" s="30">
        <v>612000</v>
      </c>
      <c r="I96" s="31"/>
      <c r="J96" s="29"/>
      <c r="K96" s="30">
        <v>624750</v>
      </c>
      <c r="L96" s="31"/>
      <c r="M96" s="154">
        <v>499800</v>
      </c>
      <c r="N96" s="46">
        <v>22050</v>
      </c>
      <c r="O96" s="46">
        <v>102900</v>
      </c>
      <c r="P96" s="47"/>
      <c r="Q96" s="155"/>
      <c r="R96" s="155">
        <f t="shared" si="3"/>
        <v>624750</v>
      </c>
      <c r="S96" s="155"/>
      <c r="T96" s="155"/>
    </row>
    <row r="97" spans="1:20" ht="18" customHeight="1" x14ac:dyDescent="0.15">
      <c r="A97" s="58"/>
      <c r="B97" s="40"/>
      <c r="C97" s="40" t="s">
        <v>55</v>
      </c>
      <c r="D97" s="42"/>
      <c r="E97" s="40"/>
      <c r="F97" s="40"/>
      <c r="G97" s="29"/>
      <c r="H97" s="30">
        <v>85000</v>
      </c>
      <c r="I97" s="31"/>
      <c r="J97" s="29"/>
      <c r="K97" s="30">
        <f t="shared" si="6"/>
        <v>85000</v>
      </c>
      <c r="L97" s="31"/>
      <c r="M97" s="154">
        <v>68000</v>
      </c>
      <c r="N97" s="46">
        <v>3000</v>
      </c>
      <c r="O97" s="46">
        <v>14000</v>
      </c>
      <c r="P97" s="47"/>
      <c r="Q97" s="155"/>
      <c r="R97" s="155">
        <f t="shared" si="3"/>
        <v>85000</v>
      </c>
      <c r="S97" s="155"/>
      <c r="T97" s="155"/>
    </row>
    <row r="98" spans="1:20" ht="18" customHeight="1" x14ac:dyDescent="0.15">
      <c r="A98" s="58"/>
      <c r="B98" s="40"/>
      <c r="C98" s="40" t="s">
        <v>56</v>
      </c>
      <c r="D98" s="42"/>
      <c r="E98" s="40"/>
      <c r="F98" s="40"/>
      <c r="G98" s="29"/>
      <c r="H98" s="30">
        <v>566100</v>
      </c>
      <c r="I98" s="31"/>
      <c r="J98" s="29"/>
      <c r="K98" s="30">
        <f t="shared" si="6"/>
        <v>566100</v>
      </c>
      <c r="L98" s="31"/>
      <c r="M98" s="154">
        <v>452880</v>
      </c>
      <c r="N98" s="46">
        <v>19980</v>
      </c>
      <c r="O98" s="46">
        <v>93240</v>
      </c>
      <c r="P98" s="47"/>
      <c r="Q98" s="155"/>
      <c r="R98" s="155">
        <f t="shared" si="3"/>
        <v>566100</v>
      </c>
      <c r="S98" s="155"/>
      <c r="T98" s="155"/>
    </row>
    <row r="99" spans="1:20" ht="18" customHeight="1" x14ac:dyDescent="0.15">
      <c r="A99" s="58"/>
      <c r="B99" s="40"/>
      <c r="C99" s="40" t="s">
        <v>57</v>
      </c>
      <c r="D99" s="42"/>
      <c r="E99" s="40"/>
      <c r="F99" s="40"/>
      <c r="G99" s="29"/>
      <c r="H99" s="30">
        <v>0</v>
      </c>
      <c r="I99" s="31"/>
      <c r="J99" s="29"/>
      <c r="K99" s="30">
        <f t="shared" si="6"/>
        <v>0</v>
      </c>
      <c r="L99" s="31"/>
      <c r="M99" s="154">
        <v>0</v>
      </c>
      <c r="N99" s="46"/>
      <c r="O99" s="46"/>
      <c r="P99" s="47"/>
      <c r="Q99" s="155"/>
      <c r="R99" s="155">
        <f t="shared" si="3"/>
        <v>0</v>
      </c>
      <c r="S99" s="155"/>
      <c r="T99" s="155"/>
    </row>
    <row r="100" spans="1:20" ht="18" customHeight="1" x14ac:dyDescent="0.15">
      <c r="A100" s="58"/>
      <c r="B100" s="40"/>
      <c r="C100" s="40" t="s">
        <v>58</v>
      </c>
      <c r="D100" s="42"/>
      <c r="E100" s="40"/>
      <c r="F100" s="40"/>
      <c r="G100" s="29"/>
      <c r="H100" s="30">
        <v>340000</v>
      </c>
      <c r="I100" s="31"/>
      <c r="J100" s="29"/>
      <c r="K100" s="30">
        <f t="shared" si="6"/>
        <v>340000</v>
      </c>
      <c r="L100" s="31"/>
      <c r="M100" s="154">
        <v>272000</v>
      </c>
      <c r="N100" s="46">
        <v>12000</v>
      </c>
      <c r="O100" s="46">
        <v>56000</v>
      </c>
      <c r="P100" s="47"/>
      <c r="Q100" s="155"/>
      <c r="R100" s="155">
        <f t="shared" si="3"/>
        <v>340000</v>
      </c>
      <c r="S100" s="155"/>
      <c r="T100" s="155"/>
    </row>
    <row r="101" spans="1:20" ht="18" customHeight="1" x14ac:dyDescent="0.15">
      <c r="A101" s="58"/>
      <c r="B101" s="40"/>
      <c r="C101" s="40" t="s">
        <v>59</v>
      </c>
      <c r="D101" s="42"/>
      <c r="E101" s="40"/>
      <c r="F101" s="40"/>
      <c r="G101" s="29"/>
      <c r="H101" s="30">
        <v>4675000</v>
      </c>
      <c r="I101" s="31"/>
      <c r="J101" s="29"/>
      <c r="K101" s="30">
        <f t="shared" si="6"/>
        <v>4675000</v>
      </c>
      <c r="L101" s="31"/>
      <c r="M101" s="154">
        <v>3740000</v>
      </c>
      <c r="N101" s="46">
        <v>165000</v>
      </c>
      <c r="O101" s="46">
        <v>770000</v>
      </c>
      <c r="P101" s="47"/>
      <c r="Q101" s="155"/>
      <c r="R101" s="155">
        <f t="shared" si="3"/>
        <v>4675000</v>
      </c>
      <c r="S101" s="155"/>
      <c r="T101" s="155"/>
    </row>
    <row r="102" spans="1:20" ht="18" customHeight="1" x14ac:dyDescent="0.15">
      <c r="A102" s="58"/>
      <c r="B102" s="40"/>
      <c r="C102" s="40" t="s">
        <v>60</v>
      </c>
      <c r="D102" s="42"/>
      <c r="E102" s="40"/>
      <c r="F102" s="40"/>
      <c r="G102" s="29"/>
      <c r="H102" s="30">
        <v>170000</v>
      </c>
      <c r="I102" s="31"/>
      <c r="J102" s="29"/>
      <c r="K102" s="30">
        <f t="shared" si="6"/>
        <v>170000</v>
      </c>
      <c r="L102" s="31"/>
      <c r="M102" s="154">
        <v>136000</v>
      </c>
      <c r="N102" s="46">
        <v>6000</v>
      </c>
      <c r="O102" s="46">
        <v>28000</v>
      </c>
      <c r="P102" s="47"/>
      <c r="Q102" s="155"/>
      <c r="R102" s="155">
        <f t="shared" si="3"/>
        <v>170000</v>
      </c>
      <c r="S102" s="155"/>
      <c r="T102" s="155"/>
    </row>
    <row r="103" spans="1:20" ht="18" customHeight="1" x14ac:dyDescent="0.15">
      <c r="A103" s="58"/>
      <c r="B103" s="40"/>
      <c r="C103" s="40" t="s">
        <v>61</v>
      </c>
      <c r="D103" s="42"/>
      <c r="E103" s="40"/>
      <c r="F103" s="40"/>
      <c r="G103" s="29"/>
      <c r="H103" s="30">
        <v>136000</v>
      </c>
      <c r="I103" s="31"/>
      <c r="J103" s="29"/>
      <c r="K103" s="30">
        <v>8500</v>
      </c>
      <c r="L103" s="31"/>
      <c r="M103" s="154">
        <v>6800</v>
      </c>
      <c r="N103" s="46">
        <v>300</v>
      </c>
      <c r="O103" s="46">
        <v>1400</v>
      </c>
      <c r="P103" s="47"/>
      <c r="Q103" s="155"/>
      <c r="R103" s="155">
        <f t="shared" si="3"/>
        <v>8500</v>
      </c>
      <c r="S103" s="155"/>
      <c r="T103" s="155"/>
    </row>
    <row r="104" spans="1:20" ht="18" customHeight="1" x14ac:dyDescent="0.15">
      <c r="A104" s="58"/>
      <c r="B104" s="40"/>
      <c r="C104" s="40" t="s">
        <v>62</v>
      </c>
      <c r="D104" s="42"/>
      <c r="E104" s="40"/>
      <c r="F104" s="40"/>
      <c r="G104" s="29"/>
      <c r="H104" s="30">
        <v>875500</v>
      </c>
      <c r="I104" s="31"/>
      <c r="J104" s="29"/>
      <c r="K104" s="30">
        <f t="shared" si="6"/>
        <v>875500</v>
      </c>
      <c r="L104" s="31"/>
      <c r="M104" s="154">
        <v>700400</v>
      </c>
      <c r="N104" s="46">
        <v>30900</v>
      </c>
      <c r="O104" s="46">
        <v>144200</v>
      </c>
      <c r="P104" s="47"/>
      <c r="Q104" s="155"/>
      <c r="R104" s="155">
        <f t="shared" si="3"/>
        <v>875500</v>
      </c>
      <c r="S104" s="155"/>
      <c r="T104" s="155"/>
    </row>
    <row r="105" spans="1:20" ht="18" customHeight="1" x14ac:dyDescent="0.15">
      <c r="A105" s="58"/>
      <c r="B105" s="40"/>
      <c r="C105" s="40" t="s">
        <v>63</v>
      </c>
      <c r="D105" s="42"/>
      <c r="E105" s="40"/>
      <c r="F105" s="40"/>
      <c r="G105" s="29"/>
      <c r="H105" s="30">
        <v>765000</v>
      </c>
      <c r="I105" s="31"/>
      <c r="J105" s="29"/>
      <c r="K105" s="30">
        <v>850000</v>
      </c>
      <c r="L105" s="31"/>
      <c r="M105" s="154">
        <v>680000</v>
      </c>
      <c r="N105" s="46">
        <v>30000</v>
      </c>
      <c r="O105" s="46">
        <v>140000</v>
      </c>
      <c r="P105" s="47"/>
      <c r="Q105" s="155"/>
      <c r="R105" s="155">
        <f t="shared" ref="R105:R134" si="7">SUM(M105:P105)</f>
        <v>850000</v>
      </c>
      <c r="S105" s="155"/>
      <c r="T105" s="155"/>
    </row>
    <row r="106" spans="1:20" ht="18" customHeight="1" x14ac:dyDescent="0.15">
      <c r="A106" s="58"/>
      <c r="B106" s="40"/>
      <c r="C106" s="40" t="s">
        <v>64</v>
      </c>
      <c r="D106" s="42"/>
      <c r="E106" s="40"/>
      <c r="F106" s="40"/>
      <c r="G106" s="29"/>
      <c r="H106" s="30">
        <v>42500</v>
      </c>
      <c r="I106" s="31"/>
      <c r="J106" s="29"/>
      <c r="K106" s="30">
        <f t="shared" si="6"/>
        <v>42500</v>
      </c>
      <c r="L106" s="31"/>
      <c r="M106" s="154">
        <v>34000</v>
      </c>
      <c r="N106" s="46">
        <v>1500</v>
      </c>
      <c r="O106" s="46">
        <v>7000</v>
      </c>
      <c r="P106" s="47"/>
      <c r="Q106" s="155"/>
      <c r="R106" s="155">
        <f t="shared" si="7"/>
        <v>42500</v>
      </c>
      <c r="S106" s="155"/>
      <c r="T106" s="155"/>
    </row>
    <row r="107" spans="1:20" ht="18" customHeight="1" x14ac:dyDescent="0.15">
      <c r="A107" s="58"/>
      <c r="B107" s="40"/>
      <c r="C107" s="40" t="s">
        <v>65</v>
      </c>
      <c r="D107" s="42"/>
      <c r="E107" s="40"/>
      <c r="F107" s="40"/>
      <c r="G107" s="29"/>
      <c r="H107" s="30">
        <v>510000</v>
      </c>
      <c r="I107" s="31"/>
      <c r="J107" s="29"/>
      <c r="K107" s="30">
        <v>255000</v>
      </c>
      <c r="L107" s="31"/>
      <c r="M107" s="154">
        <v>204000</v>
      </c>
      <c r="N107" s="46">
        <v>9000</v>
      </c>
      <c r="O107" s="46">
        <v>42000</v>
      </c>
      <c r="P107" s="47"/>
      <c r="Q107" s="155"/>
      <c r="R107" s="155">
        <f t="shared" si="7"/>
        <v>255000</v>
      </c>
      <c r="S107" s="155"/>
      <c r="T107" s="155"/>
    </row>
    <row r="108" spans="1:20" ht="18" customHeight="1" x14ac:dyDescent="0.15">
      <c r="A108" s="58"/>
      <c r="B108" s="40"/>
      <c r="C108" s="40" t="s">
        <v>66</v>
      </c>
      <c r="D108" s="42"/>
      <c r="E108" s="40"/>
      <c r="F108" s="40"/>
      <c r="G108" s="29"/>
      <c r="H108" s="30">
        <v>442000</v>
      </c>
      <c r="I108" s="31"/>
      <c r="J108" s="29"/>
      <c r="K108" s="30">
        <f t="shared" si="6"/>
        <v>442000</v>
      </c>
      <c r="L108" s="31"/>
      <c r="M108" s="154">
        <v>353600</v>
      </c>
      <c r="N108" s="46">
        <v>15600</v>
      </c>
      <c r="O108" s="46">
        <v>72800</v>
      </c>
      <c r="P108" s="47"/>
      <c r="Q108" s="155"/>
      <c r="R108" s="155">
        <f t="shared" si="7"/>
        <v>442000</v>
      </c>
      <c r="S108" s="155"/>
      <c r="T108" s="155"/>
    </row>
    <row r="109" spans="1:20" ht="18" customHeight="1" x14ac:dyDescent="0.15">
      <c r="A109" s="58"/>
      <c r="B109" s="40"/>
      <c r="C109" s="40" t="s">
        <v>100</v>
      </c>
      <c r="D109" s="42"/>
      <c r="E109" s="40"/>
      <c r="F109" s="40"/>
      <c r="G109" s="29"/>
      <c r="H109" s="223">
        <v>255000</v>
      </c>
      <c r="I109" s="31"/>
      <c r="J109" s="29"/>
      <c r="K109" s="30">
        <f t="shared" si="6"/>
        <v>255000</v>
      </c>
      <c r="L109" s="31"/>
      <c r="M109" s="224">
        <v>204000</v>
      </c>
      <c r="N109" s="225">
        <v>9000</v>
      </c>
      <c r="O109" s="225">
        <v>42000</v>
      </c>
      <c r="P109" s="226"/>
      <c r="Q109" s="155"/>
      <c r="R109" s="155">
        <f t="shared" si="7"/>
        <v>255000</v>
      </c>
      <c r="S109" s="155"/>
      <c r="T109" s="155"/>
    </row>
    <row r="110" spans="1:20" ht="18" customHeight="1" x14ac:dyDescent="0.15">
      <c r="A110" s="58"/>
      <c r="B110" s="40"/>
      <c r="C110" s="40" t="s">
        <v>67</v>
      </c>
      <c r="D110" s="42"/>
      <c r="E110" s="40"/>
      <c r="F110" s="40"/>
      <c r="G110" s="29"/>
      <c r="H110" s="223">
        <v>205870</v>
      </c>
      <c r="I110" s="31"/>
      <c r="J110" s="29"/>
      <c r="K110" s="30">
        <v>308550</v>
      </c>
      <c r="L110" s="31"/>
      <c r="M110" s="224">
        <v>246840</v>
      </c>
      <c r="N110" s="225">
        <v>10890</v>
      </c>
      <c r="O110" s="225">
        <v>50820</v>
      </c>
      <c r="P110" s="226"/>
      <c r="Q110" s="155"/>
      <c r="R110" s="155">
        <f t="shared" si="7"/>
        <v>308550</v>
      </c>
      <c r="S110" s="155">
        <f>SUM(R88:R110)</f>
        <v>27003155</v>
      </c>
      <c r="T110" s="155"/>
    </row>
    <row r="111" spans="1:20" ht="18" customHeight="1" x14ac:dyDescent="0.15">
      <c r="A111" s="58"/>
      <c r="B111" s="40"/>
      <c r="C111" s="40" t="s">
        <v>101</v>
      </c>
      <c r="D111" s="42"/>
      <c r="E111" s="40"/>
      <c r="F111" s="40"/>
      <c r="G111" s="29"/>
      <c r="H111" s="223">
        <v>0</v>
      </c>
      <c r="I111" s="31"/>
      <c r="J111" s="29"/>
      <c r="K111" s="30">
        <f t="shared" si="6"/>
        <v>0</v>
      </c>
      <c r="L111" s="31"/>
      <c r="M111" s="224"/>
      <c r="N111" s="225"/>
      <c r="O111" s="225"/>
      <c r="P111" s="226"/>
      <c r="Q111" s="155"/>
      <c r="R111" s="155">
        <f t="shared" si="7"/>
        <v>0</v>
      </c>
      <c r="S111" s="155"/>
      <c r="T111" s="155"/>
    </row>
    <row r="112" spans="1:20" ht="18" customHeight="1" x14ac:dyDescent="0.15">
      <c r="A112" s="58"/>
      <c r="B112" s="40" t="s">
        <v>68</v>
      </c>
      <c r="C112" s="40"/>
      <c r="D112" s="42"/>
      <c r="E112" s="40"/>
      <c r="F112" s="40"/>
      <c r="G112" s="29" t="s">
        <v>21</v>
      </c>
      <c r="H112" s="223">
        <f>SUM(H113:H140)</f>
        <v>9177114</v>
      </c>
      <c r="I112" s="31" t="s">
        <v>22</v>
      </c>
      <c r="J112" s="29" t="s">
        <v>21</v>
      </c>
      <c r="K112" s="223">
        <f>SUM(K113:K140)</f>
        <v>9941932</v>
      </c>
      <c r="L112" s="31" t="s">
        <v>22</v>
      </c>
      <c r="M112" s="224"/>
      <c r="N112" s="225"/>
      <c r="O112" s="225"/>
      <c r="P112" s="226"/>
      <c r="Q112" s="155"/>
      <c r="R112" s="155">
        <f t="shared" si="7"/>
        <v>0</v>
      </c>
      <c r="S112" s="155"/>
      <c r="T112" s="155"/>
    </row>
    <row r="113" spans="1:20" ht="18" customHeight="1" x14ac:dyDescent="0.15">
      <c r="A113" s="58"/>
      <c r="B113" s="40"/>
      <c r="C113" s="40" t="s">
        <v>47</v>
      </c>
      <c r="D113" s="42"/>
      <c r="E113" s="40"/>
      <c r="F113" s="40"/>
      <c r="G113" s="29"/>
      <c r="H113" s="223">
        <v>2400000</v>
      </c>
      <c r="I113" s="31"/>
      <c r="J113" s="29"/>
      <c r="K113" s="223">
        <f t="shared" ref="K113:K140" si="8">M113+N113+O113+P113</f>
        <v>2400000</v>
      </c>
      <c r="L113" s="31"/>
      <c r="M113" s="224"/>
      <c r="N113" s="225"/>
      <c r="O113" s="225"/>
      <c r="P113" s="226">
        <v>2400000</v>
      </c>
      <c r="Q113" s="155"/>
      <c r="R113" s="155">
        <f t="shared" si="7"/>
        <v>2400000</v>
      </c>
      <c r="S113" s="155"/>
      <c r="T113" s="155"/>
    </row>
    <row r="114" spans="1:20" ht="18" customHeight="1" x14ac:dyDescent="0.15">
      <c r="A114" s="58"/>
      <c r="B114" s="40"/>
      <c r="C114" s="40" t="s">
        <v>146</v>
      </c>
      <c r="D114" s="42"/>
      <c r="E114" s="40"/>
      <c r="F114" s="40"/>
      <c r="G114" s="29"/>
      <c r="H114" s="223">
        <v>0</v>
      </c>
      <c r="I114" s="31"/>
      <c r="J114" s="29"/>
      <c r="K114" s="223">
        <f t="shared" si="8"/>
        <v>0</v>
      </c>
      <c r="L114" s="31"/>
      <c r="M114" s="224"/>
      <c r="N114" s="225"/>
      <c r="O114" s="225"/>
      <c r="P114" s="226">
        <v>0</v>
      </c>
      <c r="Q114" s="155"/>
      <c r="R114" s="155">
        <f t="shared" si="7"/>
        <v>0</v>
      </c>
      <c r="S114" s="155"/>
      <c r="T114" s="155"/>
    </row>
    <row r="115" spans="1:20" ht="18" customHeight="1" x14ac:dyDescent="0.15">
      <c r="A115" s="58"/>
      <c r="B115" s="40"/>
      <c r="C115" s="40" t="s">
        <v>48</v>
      </c>
      <c r="D115" s="42"/>
      <c r="E115" s="40"/>
      <c r="F115" s="40"/>
      <c r="G115" s="29"/>
      <c r="H115" s="223">
        <v>151762</v>
      </c>
      <c r="I115" s="31"/>
      <c r="J115" s="29"/>
      <c r="K115" s="223">
        <v>35737</v>
      </c>
      <c r="L115" s="31"/>
      <c r="M115" s="224"/>
      <c r="N115" s="225"/>
      <c r="O115" s="225"/>
      <c r="P115" s="226">
        <v>35737</v>
      </c>
      <c r="Q115" s="315"/>
      <c r="R115" s="155">
        <f t="shared" si="7"/>
        <v>35737</v>
      </c>
      <c r="S115" s="155"/>
      <c r="T115" s="155"/>
    </row>
    <row r="116" spans="1:20" ht="18" customHeight="1" x14ac:dyDescent="0.15">
      <c r="A116" s="58"/>
      <c r="B116" s="40"/>
      <c r="C116" s="40" t="s">
        <v>49</v>
      </c>
      <c r="D116" s="42"/>
      <c r="E116" s="40"/>
      <c r="F116" s="40"/>
      <c r="G116" s="29"/>
      <c r="H116" s="223">
        <v>300000</v>
      </c>
      <c r="I116" s="31"/>
      <c r="J116" s="29"/>
      <c r="K116" s="223">
        <v>330000</v>
      </c>
      <c r="L116" s="31"/>
      <c r="M116" s="224"/>
      <c r="N116" s="225"/>
      <c r="O116" s="225"/>
      <c r="P116" s="226">
        <v>330000</v>
      </c>
      <c r="Q116" s="155"/>
      <c r="R116" s="155">
        <f t="shared" si="7"/>
        <v>330000</v>
      </c>
      <c r="S116" s="155"/>
      <c r="T116" s="155"/>
    </row>
    <row r="117" spans="1:20" ht="18" customHeight="1" x14ac:dyDescent="0.15">
      <c r="A117" s="58"/>
      <c r="B117" s="40"/>
      <c r="C117" s="40" t="s">
        <v>69</v>
      </c>
      <c r="D117" s="42"/>
      <c r="E117" s="40"/>
      <c r="F117" s="40"/>
      <c r="G117" s="29"/>
      <c r="H117" s="223">
        <v>2475000</v>
      </c>
      <c r="I117" s="31"/>
      <c r="J117" s="29"/>
      <c r="K117" s="223">
        <v>3856670</v>
      </c>
      <c r="L117" s="31"/>
      <c r="M117" s="224"/>
      <c r="N117" s="225"/>
      <c r="O117" s="225"/>
      <c r="P117" s="226">
        <v>3856670</v>
      </c>
      <c r="Q117" s="155"/>
      <c r="R117" s="155">
        <f t="shared" si="7"/>
        <v>3856670</v>
      </c>
      <c r="S117" s="155"/>
      <c r="T117" s="155"/>
    </row>
    <row r="118" spans="1:20" ht="18" customHeight="1" x14ac:dyDescent="0.15">
      <c r="A118" s="58"/>
      <c r="B118" s="40"/>
      <c r="C118" s="40" t="s">
        <v>50</v>
      </c>
      <c r="D118" s="42"/>
      <c r="E118" s="40"/>
      <c r="F118" s="40"/>
      <c r="G118" s="29"/>
      <c r="H118" s="223">
        <v>78150</v>
      </c>
      <c r="I118" s="31"/>
      <c r="J118" s="29"/>
      <c r="K118" s="223">
        <v>75150</v>
      </c>
      <c r="L118" s="31"/>
      <c r="M118" s="224"/>
      <c r="N118" s="225"/>
      <c r="O118" s="225"/>
      <c r="P118" s="226">
        <v>75150</v>
      </c>
      <c r="Q118" s="155"/>
      <c r="R118" s="155">
        <f t="shared" si="7"/>
        <v>75150</v>
      </c>
      <c r="S118" s="155"/>
      <c r="T118" s="155"/>
    </row>
    <row r="119" spans="1:20" ht="18" customHeight="1" x14ac:dyDescent="0.15">
      <c r="A119" s="58"/>
      <c r="B119" s="40"/>
      <c r="C119" s="40" t="s">
        <v>51</v>
      </c>
      <c r="D119" s="42"/>
      <c r="E119" s="40"/>
      <c r="F119" s="40"/>
      <c r="G119" s="29"/>
      <c r="H119" s="223">
        <v>250800</v>
      </c>
      <c r="I119" s="31"/>
      <c r="J119" s="29"/>
      <c r="K119" s="223">
        <v>223375</v>
      </c>
      <c r="L119" s="31"/>
      <c r="M119" s="224"/>
      <c r="N119" s="225"/>
      <c r="O119" s="225"/>
      <c r="P119" s="226">
        <v>223375</v>
      </c>
      <c r="Q119" s="155"/>
      <c r="R119" s="155">
        <f t="shared" si="7"/>
        <v>223375</v>
      </c>
      <c r="S119" s="155"/>
      <c r="T119" s="155"/>
    </row>
    <row r="120" spans="1:20" ht="18" customHeight="1" x14ac:dyDescent="0.15">
      <c r="A120" s="58"/>
      <c r="B120" s="40"/>
      <c r="C120" s="40" t="s">
        <v>52</v>
      </c>
      <c r="D120" s="42"/>
      <c r="E120" s="40"/>
      <c r="F120" s="40"/>
      <c r="G120" s="29"/>
      <c r="H120" s="223">
        <v>38172</v>
      </c>
      <c r="I120" s="31"/>
      <c r="J120" s="29"/>
      <c r="K120" s="223">
        <v>9900</v>
      </c>
      <c r="L120" s="31"/>
      <c r="M120" s="224"/>
      <c r="N120" s="225"/>
      <c r="O120" s="225"/>
      <c r="P120" s="226">
        <v>9900</v>
      </c>
      <c r="Q120" s="155"/>
      <c r="R120" s="155">
        <f t="shared" si="7"/>
        <v>9900</v>
      </c>
      <c r="S120" s="155"/>
      <c r="T120" s="155"/>
    </row>
    <row r="121" spans="1:20" ht="18" customHeight="1" x14ac:dyDescent="0.15">
      <c r="A121" s="58"/>
      <c r="B121" s="40"/>
      <c r="C121" s="40" t="s">
        <v>53</v>
      </c>
      <c r="D121" s="42"/>
      <c r="E121" s="40"/>
      <c r="F121" s="40"/>
      <c r="G121" s="29"/>
      <c r="H121" s="223">
        <v>15000</v>
      </c>
      <c r="I121" s="31"/>
      <c r="J121" s="29"/>
      <c r="K121" s="223">
        <f t="shared" si="8"/>
        <v>15000</v>
      </c>
      <c r="L121" s="31"/>
      <c r="M121" s="224"/>
      <c r="N121" s="225"/>
      <c r="O121" s="225"/>
      <c r="P121" s="226">
        <v>15000</v>
      </c>
      <c r="Q121" s="155"/>
      <c r="R121" s="155">
        <f t="shared" si="7"/>
        <v>15000</v>
      </c>
      <c r="S121" s="155"/>
      <c r="T121" s="155"/>
    </row>
    <row r="122" spans="1:20" ht="18" customHeight="1" x14ac:dyDescent="0.15">
      <c r="A122" s="58"/>
      <c r="B122" s="40"/>
      <c r="C122" s="40" t="s">
        <v>54</v>
      </c>
      <c r="D122" s="42"/>
      <c r="E122" s="40"/>
      <c r="F122" s="40"/>
      <c r="G122" s="29"/>
      <c r="H122" s="223">
        <v>108000</v>
      </c>
      <c r="I122" s="31"/>
      <c r="J122" s="29"/>
      <c r="K122" s="223">
        <v>110250</v>
      </c>
      <c r="L122" s="31"/>
      <c r="M122" s="224"/>
      <c r="N122" s="225"/>
      <c r="O122" s="225"/>
      <c r="P122" s="226">
        <v>110250</v>
      </c>
      <c r="Q122" s="155"/>
      <c r="R122" s="155">
        <f t="shared" si="7"/>
        <v>110250</v>
      </c>
      <c r="S122" s="155"/>
      <c r="T122" s="155"/>
    </row>
    <row r="123" spans="1:20" ht="18" customHeight="1" x14ac:dyDescent="0.15">
      <c r="A123" s="58"/>
      <c r="B123" s="40"/>
      <c r="C123" s="40" t="s">
        <v>55</v>
      </c>
      <c r="D123" s="42"/>
      <c r="E123" s="40"/>
      <c r="F123" s="40"/>
      <c r="G123" s="29"/>
      <c r="H123" s="223">
        <v>15000</v>
      </c>
      <c r="I123" s="31"/>
      <c r="J123" s="29"/>
      <c r="K123" s="223">
        <f t="shared" si="8"/>
        <v>15000</v>
      </c>
      <c r="L123" s="31"/>
      <c r="M123" s="224"/>
      <c r="N123" s="225"/>
      <c r="O123" s="225"/>
      <c r="P123" s="226">
        <v>15000</v>
      </c>
      <c r="Q123" s="155"/>
      <c r="R123" s="155">
        <f t="shared" si="7"/>
        <v>15000</v>
      </c>
      <c r="S123" s="155"/>
      <c r="T123" s="155"/>
    </row>
    <row r="124" spans="1:20" ht="18" customHeight="1" x14ac:dyDescent="0.15">
      <c r="A124" s="58"/>
      <c r="B124" s="40"/>
      <c r="C124" s="40" t="s">
        <v>56</v>
      </c>
      <c r="D124" s="42"/>
      <c r="E124" s="40"/>
      <c r="F124" s="40"/>
      <c r="G124" s="29"/>
      <c r="H124" s="223">
        <v>99900</v>
      </c>
      <c r="I124" s="31"/>
      <c r="J124" s="29"/>
      <c r="K124" s="223">
        <f t="shared" si="8"/>
        <v>99900</v>
      </c>
      <c r="L124" s="31"/>
      <c r="M124" s="224"/>
      <c r="N124" s="225"/>
      <c r="O124" s="225"/>
      <c r="P124" s="226">
        <v>99900</v>
      </c>
      <c r="Q124" s="155"/>
      <c r="R124" s="155">
        <f t="shared" si="7"/>
        <v>99900</v>
      </c>
      <c r="S124" s="155"/>
      <c r="T124" s="155"/>
    </row>
    <row r="125" spans="1:20" ht="18" customHeight="1" x14ac:dyDescent="0.15">
      <c r="A125" s="58"/>
      <c r="B125" s="40"/>
      <c r="C125" s="40" t="s">
        <v>57</v>
      </c>
      <c r="D125" s="42"/>
      <c r="E125" s="40"/>
      <c r="F125" s="40"/>
      <c r="G125" s="29"/>
      <c r="H125" s="223">
        <v>0</v>
      </c>
      <c r="I125" s="31"/>
      <c r="J125" s="29"/>
      <c r="K125" s="223">
        <f t="shared" si="8"/>
        <v>0</v>
      </c>
      <c r="L125" s="31"/>
      <c r="M125" s="224"/>
      <c r="N125" s="225"/>
      <c r="O125" s="225"/>
      <c r="P125" s="226">
        <v>0</v>
      </c>
      <c r="Q125" s="155"/>
      <c r="R125" s="155">
        <f t="shared" si="7"/>
        <v>0</v>
      </c>
      <c r="S125" s="155"/>
      <c r="T125" s="155"/>
    </row>
    <row r="126" spans="1:20" ht="18" customHeight="1" x14ac:dyDescent="0.15">
      <c r="A126" s="58"/>
      <c r="B126" s="40"/>
      <c r="C126" s="40" t="s">
        <v>58</v>
      </c>
      <c r="D126" s="42"/>
      <c r="E126" s="40"/>
      <c r="F126" s="40"/>
      <c r="G126" s="29"/>
      <c r="H126" s="223">
        <v>60000</v>
      </c>
      <c r="I126" s="31"/>
      <c r="J126" s="29"/>
      <c r="K126" s="223">
        <f t="shared" si="8"/>
        <v>60000</v>
      </c>
      <c r="L126" s="31"/>
      <c r="M126" s="224"/>
      <c r="N126" s="225"/>
      <c r="O126" s="225"/>
      <c r="P126" s="226">
        <v>60000</v>
      </c>
      <c r="Q126" s="155"/>
      <c r="R126" s="155">
        <f t="shared" si="7"/>
        <v>60000</v>
      </c>
      <c r="S126" s="155"/>
      <c r="T126" s="155"/>
    </row>
    <row r="127" spans="1:20" ht="18" customHeight="1" x14ac:dyDescent="0.15">
      <c r="A127" s="58"/>
      <c r="B127" s="40"/>
      <c r="C127" s="40" t="s">
        <v>59</v>
      </c>
      <c r="D127" s="42"/>
      <c r="E127" s="40"/>
      <c r="F127" s="40"/>
      <c r="G127" s="29"/>
      <c r="H127" s="223">
        <v>825000</v>
      </c>
      <c r="I127" s="31"/>
      <c r="J127" s="29"/>
      <c r="K127" s="223">
        <f t="shared" si="8"/>
        <v>825000</v>
      </c>
      <c r="L127" s="31"/>
      <c r="M127" s="224"/>
      <c r="N127" s="225"/>
      <c r="O127" s="225"/>
      <c r="P127" s="226">
        <v>825000</v>
      </c>
      <c r="Q127" s="155"/>
      <c r="R127" s="155">
        <f t="shared" si="7"/>
        <v>825000</v>
      </c>
      <c r="S127" s="155"/>
      <c r="T127" s="155"/>
    </row>
    <row r="128" spans="1:20" ht="18" customHeight="1" x14ac:dyDescent="0.15">
      <c r="A128" s="58"/>
      <c r="B128" s="40"/>
      <c r="C128" s="40" t="s">
        <v>60</v>
      </c>
      <c r="D128" s="42"/>
      <c r="E128" s="40"/>
      <c r="F128" s="40"/>
      <c r="G128" s="29"/>
      <c r="H128" s="223">
        <v>30000</v>
      </c>
      <c r="I128" s="31"/>
      <c r="J128" s="29"/>
      <c r="K128" s="223">
        <f t="shared" si="8"/>
        <v>30000</v>
      </c>
      <c r="L128" s="31"/>
      <c r="M128" s="224"/>
      <c r="N128" s="225"/>
      <c r="O128" s="225"/>
      <c r="P128" s="226">
        <v>30000</v>
      </c>
      <c r="Q128" s="155"/>
      <c r="R128" s="155">
        <f t="shared" si="7"/>
        <v>30000</v>
      </c>
      <c r="S128" s="155"/>
      <c r="T128" s="155"/>
    </row>
    <row r="129" spans="1:21" ht="18" customHeight="1" x14ac:dyDescent="0.15">
      <c r="A129" s="58"/>
      <c r="B129" s="40"/>
      <c r="C129" s="40" t="s">
        <v>61</v>
      </c>
      <c r="D129" s="42"/>
      <c r="E129" s="40"/>
      <c r="F129" s="40"/>
      <c r="G129" s="29"/>
      <c r="H129" s="223">
        <v>24000</v>
      </c>
      <c r="I129" s="31"/>
      <c r="J129" s="29"/>
      <c r="K129" s="223">
        <v>1500</v>
      </c>
      <c r="L129" s="31"/>
      <c r="M129" s="224"/>
      <c r="N129" s="225"/>
      <c r="O129" s="225"/>
      <c r="P129" s="226">
        <v>1500</v>
      </c>
      <c r="Q129" s="155"/>
      <c r="R129" s="155">
        <f t="shared" si="7"/>
        <v>1500</v>
      </c>
      <c r="S129" s="155"/>
      <c r="T129" s="155"/>
    </row>
    <row r="130" spans="1:21" ht="18" customHeight="1" x14ac:dyDescent="0.15">
      <c r="A130" s="58"/>
      <c r="B130" s="40"/>
      <c r="C130" s="40" t="s">
        <v>62</v>
      </c>
      <c r="D130" s="42"/>
      <c r="E130" s="40"/>
      <c r="F130" s="40"/>
      <c r="G130" s="29"/>
      <c r="H130" s="223">
        <v>154500</v>
      </c>
      <c r="I130" s="31"/>
      <c r="J130" s="29"/>
      <c r="K130" s="223">
        <f t="shared" si="8"/>
        <v>154500</v>
      </c>
      <c r="L130" s="31"/>
      <c r="M130" s="224"/>
      <c r="N130" s="225"/>
      <c r="O130" s="225"/>
      <c r="P130" s="226">
        <v>154500</v>
      </c>
      <c r="Q130" s="155"/>
      <c r="R130" s="155">
        <f t="shared" si="7"/>
        <v>154500</v>
      </c>
      <c r="S130" s="155"/>
      <c r="T130" s="155"/>
    </row>
    <row r="131" spans="1:21" ht="18" customHeight="1" x14ac:dyDescent="0.15">
      <c r="A131" s="58"/>
      <c r="B131" s="40"/>
      <c r="C131" s="40" t="s">
        <v>70</v>
      </c>
      <c r="D131" s="42"/>
      <c r="E131" s="40"/>
      <c r="F131" s="40"/>
      <c r="G131" s="29"/>
      <c r="H131" s="223">
        <v>580000</v>
      </c>
      <c r="I131" s="31"/>
      <c r="J131" s="29"/>
      <c r="K131" s="223">
        <v>540000</v>
      </c>
      <c r="L131" s="31"/>
      <c r="M131" s="224"/>
      <c r="N131" s="225"/>
      <c r="O131" s="225"/>
      <c r="P131" s="226">
        <v>540000</v>
      </c>
      <c r="Q131" s="155"/>
      <c r="R131" s="155">
        <f t="shared" si="7"/>
        <v>540000</v>
      </c>
      <c r="S131" s="155"/>
      <c r="T131" s="155"/>
    </row>
    <row r="132" spans="1:21" ht="18" customHeight="1" x14ac:dyDescent="0.15">
      <c r="A132" s="58"/>
      <c r="B132" s="40"/>
      <c r="C132" s="40" t="s">
        <v>71</v>
      </c>
      <c r="D132" s="42"/>
      <c r="E132" s="40"/>
      <c r="F132" s="40"/>
      <c r="G132" s="29"/>
      <c r="H132" s="223">
        <v>600000</v>
      </c>
      <c r="I132" s="31"/>
      <c r="J132" s="29"/>
      <c r="K132" s="223">
        <v>200000</v>
      </c>
      <c r="L132" s="31"/>
      <c r="M132" s="224"/>
      <c r="N132" s="225"/>
      <c r="O132" s="225"/>
      <c r="P132" s="226">
        <v>200000</v>
      </c>
      <c r="Q132" s="155"/>
      <c r="R132" s="155">
        <f t="shared" si="7"/>
        <v>200000</v>
      </c>
      <c r="S132" s="155"/>
      <c r="T132" s="155"/>
    </row>
    <row r="133" spans="1:21" ht="18" customHeight="1" x14ac:dyDescent="0.15">
      <c r="A133" s="58"/>
      <c r="B133" s="40"/>
      <c r="C133" s="40" t="s">
        <v>63</v>
      </c>
      <c r="D133" s="42"/>
      <c r="E133" s="40"/>
      <c r="F133" s="40"/>
      <c r="G133" s="29"/>
      <c r="H133" s="223">
        <v>135000</v>
      </c>
      <c r="I133" s="31"/>
      <c r="J133" s="29"/>
      <c r="K133" s="223">
        <v>150000</v>
      </c>
      <c r="L133" s="31"/>
      <c r="M133" s="224"/>
      <c r="N133" s="225"/>
      <c r="O133" s="225"/>
      <c r="P133" s="226">
        <v>150000</v>
      </c>
      <c r="Q133" s="155"/>
      <c r="R133" s="155">
        <f t="shared" si="7"/>
        <v>150000</v>
      </c>
      <c r="S133" s="155"/>
      <c r="T133" s="155"/>
    </row>
    <row r="134" spans="1:21" ht="18" customHeight="1" x14ac:dyDescent="0.15">
      <c r="A134" s="58"/>
      <c r="B134" s="40"/>
      <c r="C134" s="40" t="s">
        <v>72</v>
      </c>
      <c r="D134" s="42"/>
      <c r="E134" s="40"/>
      <c r="F134" s="40"/>
      <c r="G134" s="29"/>
      <c r="H134" s="223">
        <v>580000</v>
      </c>
      <c r="I134" s="31"/>
      <c r="J134" s="29"/>
      <c r="K134" s="223">
        <f t="shared" si="8"/>
        <v>580000</v>
      </c>
      <c r="L134" s="31"/>
      <c r="M134" s="224"/>
      <c r="N134" s="225"/>
      <c r="O134" s="225"/>
      <c r="P134" s="226">
        <v>580000</v>
      </c>
      <c r="Q134" s="155"/>
      <c r="R134" s="155">
        <f t="shared" si="7"/>
        <v>580000</v>
      </c>
      <c r="S134" s="155"/>
      <c r="T134" s="155"/>
    </row>
    <row r="135" spans="1:21" ht="18" customHeight="1" x14ac:dyDescent="0.15">
      <c r="A135" s="58"/>
      <c r="B135" s="40"/>
      <c r="C135" s="40" t="s">
        <v>64</v>
      </c>
      <c r="D135" s="42"/>
      <c r="E135" s="40"/>
      <c r="F135" s="40"/>
      <c r="G135" s="29"/>
      <c r="H135" s="223">
        <v>7500</v>
      </c>
      <c r="I135" s="31"/>
      <c r="J135" s="29"/>
      <c r="K135" s="223">
        <f t="shared" si="8"/>
        <v>7500</v>
      </c>
      <c r="L135" s="31"/>
      <c r="M135" s="224"/>
      <c r="N135" s="225"/>
      <c r="O135" s="225"/>
      <c r="P135" s="226">
        <v>7500</v>
      </c>
      <c r="Q135" s="155"/>
      <c r="R135" s="155">
        <v>7500</v>
      </c>
      <c r="S135" s="155"/>
      <c r="T135" s="155"/>
    </row>
    <row r="136" spans="1:21" ht="18" customHeight="1" x14ac:dyDescent="0.15">
      <c r="A136" s="58"/>
      <c r="B136" s="40"/>
      <c r="C136" s="40" t="s">
        <v>65</v>
      </c>
      <c r="D136" s="42"/>
      <c r="E136" s="40"/>
      <c r="F136" s="40"/>
      <c r="G136" s="29"/>
      <c r="H136" s="223">
        <v>90000</v>
      </c>
      <c r="I136" s="31"/>
      <c r="J136" s="29"/>
      <c r="K136" s="223">
        <v>45000</v>
      </c>
      <c r="L136" s="31"/>
      <c r="M136" s="224"/>
      <c r="N136" s="225"/>
      <c r="O136" s="225"/>
      <c r="P136" s="226">
        <v>45000</v>
      </c>
      <c r="Q136" s="155"/>
      <c r="R136" s="155">
        <v>45000</v>
      </c>
      <c r="S136" s="155"/>
      <c r="T136" s="155"/>
    </row>
    <row r="137" spans="1:21" ht="18" customHeight="1" x14ac:dyDescent="0.15">
      <c r="A137" s="58"/>
      <c r="B137" s="40"/>
      <c r="C137" s="40" t="s">
        <v>66</v>
      </c>
      <c r="D137" s="42"/>
      <c r="E137" s="40"/>
      <c r="F137" s="40"/>
      <c r="G137" s="29"/>
      <c r="H137" s="223">
        <v>78000</v>
      </c>
      <c r="I137" s="31"/>
      <c r="J137" s="29"/>
      <c r="K137" s="223">
        <v>78000</v>
      </c>
      <c r="L137" s="31"/>
      <c r="M137" s="224"/>
      <c r="N137" s="225"/>
      <c r="O137" s="225"/>
      <c r="P137" s="226">
        <v>78000</v>
      </c>
      <c r="Q137" s="155"/>
      <c r="R137" s="155">
        <v>78000</v>
      </c>
      <c r="S137" s="155"/>
      <c r="T137" s="155"/>
    </row>
    <row r="138" spans="1:21" ht="18" customHeight="1" x14ac:dyDescent="0.15">
      <c r="A138" s="58"/>
      <c r="B138" s="295"/>
      <c r="C138" s="56" t="s">
        <v>100</v>
      </c>
      <c r="D138" s="57"/>
      <c r="E138" s="56"/>
      <c r="F138" s="56"/>
      <c r="G138" s="29"/>
      <c r="H138" s="227">
        <v>45000</v>
      </c>
      <c r="I138" s="31"/>
      <c r="J138" s="29"/>
      <c r="K138" s="223">
        <v>45000</v>
      </c>
      <c r="L138" s="31"/>
      <c r="M138" s="224"/>
      <c r="N138" s="225"/>
      <c r="O138" s="225"/>
      <c r="P138" s="226">
        <v>45000</v>
      </c>
      <c r="Q138" s="155"/>
      <c r="R138" s="155">
        <v>45000</v>
      </c>
      <c r="S138" s="155"/>
      <c r="T138" s="155"/>
    </row>
    <row r="139" spans="1:21" ht="18" customHeight="1" x14ac:dyDescent="0.15">
      <c r="A139" s="58"/>
      <c r="B139" s="56"/>
      <c r="C139" s="56" t="s">
        <v>67</v>
      </c>
      <c r="D139" s="57"/>
      <c r="E139" s="56"/>
      <c r="F139" s="56"/>
      <c r="G139" s="29"/>
      <c r="H139" s="223">
        <v>36330</v>
      </c>
      <c r="I139" s="31"/>
      <c r="J139" s="29"/>
      <c r="K139" s="223">
        <v>54450</v>
      </c>
      <c r="L139" s="31"/>
      <c r="M139" s="224"/>
      <c r="N139" s="225"/>
      <c r="O139" s="225"/>
      <c r="P139" s="226">
        <v>54450</v>
      </c>
      <c r="Q139" s="155"/>
      <c r="R139" s="155">
        <v>54450</v>
      </c>
      <c r="S139" s="155">
        <f>SUM(R113:R139)</f>
        <v>9941932</v>
      </c>
      <c r="T139" s="155">
        <f>S139+S110</f>
        <v>36945087</v>
      </c>
      <c r="U139" s="1">
        <v>36945087</v>
      </c>
    </row>
    <row r="140" spans="1:21" ht="18" customHeight="1" x14ac:dyDescent="0.15">
      <c r="A140" s="75"/>
      <c r="B140" s="228"/>
      <c r="C140" s="228" t="s">
        <v>101</v>
      </c>
      <c r="D140" s="229"/>
      <c r="E140" s="228"/>
      <c r="F140" s="230"/>
      <c r="G140" s="49"/>
      <c r="H140" s="227">
        <v>0</v>
      </c>
      <c r="I140" s="50"/>
      <c r="J140" s="49"/>
      <c r="K140" s="223">
        <f t="shared" si="8"/>
        <v>0</v>
      </c>
      <c r="L140" s="50"/>
      <c r="M140" s="231"/>
      <c r="N140" s="232"/>
      <c r="O140" s="232"/>
      <c r="P140" s="258"/>
      <c r="Q140" s="155"/>
      <c r="S140" s="155">
        <f>SUM(S50:S139)</f>
        <v>80690484</v>
      </c>
      <c r="T140" s="155"/>
    </row>
    <row r="141" spans="1:21" ht="18" customHeight="1" x14ac:dyDescent="0.15">
      <c r="A141" s="63"/>
      <c r="B141" s="65" t="s">
        <v>73</v>
      </c>
      <c r="C141" s="80"/>
      <c r="D141" s="64"/>
      <c r="E141" s="65"/>
      <c r="F141" s="65"/>
      <c r="G141" s="81"/>
      <c r="H141" s="233">
        <f>SUM(H37,H87,H112)</f>
        <v>77454280</v>
      </c>
      <c r="I141" s="83"/>
      <c r="J141" s="81"/>
      <c r="K141" s="233">
        <f>SUM(K37,K87,K112)</f>
        <v>80690484</v>
      </c>
      <c r="L141" s="83"/>
      <c r="M141" s="234">
        <f>SUM(M38:M140)</f>
        <v>46489274</v>
      </c>
      <c r="N141" s="235">
        <f>SUM(N38:N140)</f>
        <v>953053</v>
      </c>
      <c r="O141" s="235">
        <f>SUM(O38:O140)</f>
        <v>23306225</v>
      </c>
      <c r="P141" s="236">
        <f>SUM(P38:P140)</f>
        <v>9941932</v>
      </c>
      <c r="Q141" s="155"/>
      <c r="S141" s="155">
        <f>SUM(M141:P141)</f>
        <v>80690484</v>
      </c>
      <c r="T141" s="155" t="s">
        <v>203</v>
      </c>
    </row>
    <row r="142" spans="1:21" ht="18" customHeight="1" thickBot="1" x14ac:dyDescent="0.2">
      <c r="A142" s="88"/>
      <c r="B142" s="89" t="s">
        <v>74</v>
      </c>
      <c r="C142" s="90"/>
      <c r="D142" s="91"/>
      <c r="E142" s="89"/>
      <c r="F142" s="89"/>
      <c r="G142" s="92"/>
      <c r="H142" s="237">
        <f>H35-H141</f>
        <v>-2775280</v>
      </c>
      <c r="I142" s="94"/>
      <c r="J142" s="92"/>
      <c r="K142" s="237">
        <f>K35-K141</f>
        <v>-5357884</v>
      </c>
      <c r="L142" s="94"/>
      <c r="M142" s="238">
        <f>M35-M141</f>
        <v>-4210374</v>
      </c>
      <c r="N142" s="239">
        <f>N35-N141</f>
        <v>496947</v>
      </c>
      <c r="O142" s="239">
        <f>O35-O141</f>
        <v>-1530725</v>
      </c>
      <c r="P142" s="240">
        <f>P35-P141</f>
        <v>-113732</v>
      </c>
      <c r="Q142" s="158"/>
      <c r="R142" s="294">
        <f>SUM(M142:P142)</f>
        <v>-5357884</v>
      </c>
      <c r="S142" s="158">
        <f>S141-K141</f>
        <v>0</v>
      </c>
      <c r="T142" s="158"/>
    </row>
    <row r="143" spans="1:21" ht="18" customHeight="1" x14ac:dyDescent="0.15">
      <c r="A143" s="100"/>
      <c r="B143" s="101"/>
      <c r="C143" s="102"/>
      <c r="D143" s="103"/>
      <c r="E143" s="101"/>
      <c r="F143" s="101"/>
      <c r="G143" s="104"/>
      <c r="H143" s="241"/>
      <c r="I143" s="106"/>
      <c r="J143" s="104"/>
      <c r="K143" s="242"/>
      <c r="L143" s="106"/>
      <c r="M143" s="243"/>
      <c r="N143" s="244"/>
      <c r="O143" s="244"/>
      <c r="P143" s="236"/>
      <c r="Q143" s="155"/>
      <c r="S143" s="155"/>
      <c r="T143" s="155"/>
    </row>
    <row r="144" spans="1:21" ht="18" customHeight="1" x14ac:dyDescent="0.15">
      <c r="A144" s="245"/>
      <c r="B144" s="384" t="s">
        <v>75</v>
      </c>
      <c r="C144" s="384"/>
      <c r="D144" s="384"/>
      <c r="E144" s="384"/>
      <c r="F144" s="385"/>
      <c r="G144" s="117"/>
      <c r="H144" s="246">
        <f>H142</f>
        <v>-2775280</v>
      </c>
      <c r="I144" s="247"/>
      <c r="J144" s="248"/>
      <c r="K144" s="246">
        <f>K142</f>
        <v>-5357884</v>
      </c>
      <c r="L144" s="83"/>
      <c r="M144" s="249"/>
      <c r="N144" s="250"/>
      <c r="O144" s="250"/>
      <c r="P144" s="251"/>
      <c r="Q144" s="159"/>
      <c r="S144" s="159"/>
      <c r="T144" s="159"/>
    </row>
    <row r="145" spans="1:20" ht="18" customHeight="1" x14ac:dyDescent="0.15">
      <c r="A145" s="245"/>
      <c r="B145" s="160" t="s">
        <v>76</v>
      </c>
      <c r="C145" s="252"/>
      <c r="D145" s="252"/>
      <c r="E145" s="252"/>
      <c r="F145" s="116"/>
      <c r="G145" s="117"/>
      <c r="H145" s="233">
        <v>69224790</v>
      </c>
      <c r="I145" s="247"/>
      <c r="J145" s="248"/>
      <c r="K145" s="253"/>
      <c r="L145" s="83"/>
      <c r="M145" s="249"/>
      <c r="N145" s="250"/>
      <c r="O145" s="250"/>
      <c r="P145" s="251"/>
      <c r="Q145" s="155"/>
      <c r="S145" s="155"/>
      <c r="T145" s="155"/>
    </row>
    <row r="146" spans="1:20" ht="18" customHeight="1" x14ac:dyDescent="0.15">
      <c r="A146" s="245"/>
      <c r="B146" s="160" t="s">
        <v>77</v>
      </c>
      <c r="C146" s="252"/>
      <c r="D146" s="252"/>
      <c r="E146" s="252"/>
      <c r="F146" s="116"/>
      <c r="G146" s="117"/>
      <c r="H146" s="233">
        <f>SUM(H144:H145)</f>
        <v>66449510</v>
      </c>
      <c r="I146" s="247"/>
      <c r="J146" s="248"/>
      <c r="K146" s="233"/>
      <c r="L146" s="83"/>
      <c r="M146" s="249"/>
      <c r="N146" s="250"/>
      <c r="O146" s="250"/>
      <c r="P146" s="251"/>
      <c r="Q146" s="161"/>
      <c r="S146" s="161"/>
      <c r="T146" s="161"/>
    </row>
    <row r="147" spans="1:20" ht="18" customHeight="1" thickBot="1" x14ac:dyDescent="0.2">
      <c r="A147" s="162" t="s">
        <v>78</v>
      </c>
      <c r="B147" s="163"/>
      <c r="C147" s="164"/>
      <c r="D147" s="164"/>
      <c r="E147" s="164"/>
      <c r="F147" s="128"/>
      <c r="G147" s="129"/>
      <c r="H147" s="130">
        <f>H146</f>
        <v>66449510</v>
      </c>
      <c r="I147" s="131"/>
      <c r="J147" s="132"/>
      <c r="K147" s="130"/>
      <c r="L147" s="94"/>
      <c r="M147" s="165"/>
      <c r="N147" s="136"/>
      <c r="O147" s="136"/>
      <c r="P147" s="137"/>
      <c r="Q147" s="138"/>
    </row>
    <row r="148" spans="1:20" ht="20.25" customHeight="1" x14ac:dyDescent="0.15">
      <c r="A148" s="2" t="s">
        <v>81</v>
      </c>
      <c r="B148" s="2"/>
      <c r="C148" s="166"/>
      <c r="D148" s="166"/>
      <c r="K148" s="3"/>
    </row>
    <row r="149" spans="1:20" s="4" customFormat="1" ht="21.75" customHeight="1" x14ac:dyDescent="0.15">
      <c r="A149" s="2" t="s">
        <v>99</v>
      </c>
      <c r="B149" s="2"/>
      <c r="C149" s="166"/>
      <c r="D149" s="166"/>
      <c r="E149" s="2"/>
      <c r="F149" s="2"/>
      <c r="G149" s="2"/>
      <c r="H149" s="2"/>
      <c r="I149" s="2"/>
      <c r="J149" s="2"/>
      <c r="K149" s="3"/>
      <c r="L149" s="2"/>
      <c r="M149" s="167"/>
      <c r="N149" s="167"/>
      <c r="O149" s="167"/>
      <c r="P149" s="167"/>
    </row>
    <row r="150" spans="1:20" s="4" customFormat="1" ht="17.25" customHeight="1" x14ac:dyDescent="0.15">
      <c r="A150" s="364" t="s">
        <v>84</v>
      </c>
      <c r="B150" s="364"/>
      <c r="C150" s="364"/>
      <c r="D150" s="364"/>
      <c r="E150" s="364"/>
      <c r="F150" s="185"/>
      <c r="G150" s="365">
        <f>M141</f>
        <v>46489274</v>
      </c>
      <c r="H150" s="365"/>
      <c r="I150" s="2" t="s">
        <v>86</v>
      </c>
      <c r="J150" s="2"/>
      <c r="K150" s="3">
        <f>K141</f>
        <v>80690484</v>
      </c>
      <c r="L150" s="2"/>
      <c r="M150" s="186" t="s">
        <v>85</v>
      </c>
      <c r="N150" s="187">
        <f>M141/K141</f>
        <v>0.57614320419741194</v>
      </c>
    </row>
    <row r="151" spans="1:20" s="4" customFormat="1" ht="17.25" customHeight="1" x14ac:dyDescent="0.15">
      <c r="A151" s="2"/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2"/>
    </row>
  </sheetData>
  <mergeCells count="24">
    <mergeCell ref="A6:F6"/>
    <mergeCell ref="C24:F24"/>
    <mergeCell ref="B144:F144"/>
    <mergeCell ref="A150:E150"/>
    <mergeCell ref="G150:H150"/>
    <mergeCell ref="B38:F38"/>
    <mergeCell ref="B51:F51"/>
    <mergeCell ref="B60:F60"/>
    <mergeCell ref="B74:F74"/>
    <mergeCell ref="B76:F76"/>
    <mergeCell ref="C52:E52"/>
    <mergeCell ref="C55:E55"/>
    <mergeCell ref="C83:E83"/>
    <mergeCell ref="C26:F26"/>
    <mergeCell ref="C67:E67"/>
    <mergeCell ref="A1:P1"/>
    <mergeCell ref="A2:P2"/>
    <mergeCell ref="A3:G3"/>
    <mergeCell ref="A4:F5"/>
    <mergeCell ref="G4:I5"/>
    <mergeCell ref="J4:L5"/>
    <mergeCell ref="M4:M5"/>
    <mergeCell ref="N4:O4"/>
    <mergeCell ref="P4:P5"/>
  </mergeCells>
  <phoneticPr fontId="2"/>
  <printOptions horizontalCentered="1"/>
  <pageMargins left="0.35433070866141736" right="0.19685039370078741" top="0.47244094488188981" bottom="0.39370078740157483" header="0.55118110236220474" footer="0.39370078740157483"/>
  <pageSetup paperSize="9" scale="8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3C67-7DDF-417B-9B76-161878C73FBF}">
  <sheetPr>
    <tabColor rgb="FFFF0000"/>
    <pageSetUpPr fitToPage="1"/>
  </sheetPr>
  <dimension ref="A1:T150"/>
  <sheetViews>
    <sheetView zoomScaleNormal="100" workbookViewId="0">
      <pane xSplit="10" ySplit="5" topLeftCell="K6" activePane="bottomRight" state="frozen"/>
      <selection activeCell="K90" activeCellId="1" sqref="K56 K90"/>
      <selection pane="topRight" activeCell="K90" activeCellId="1" sqref="K56 K90"/>
      <selection pane="bottomLeft" activeCell="K90" activeCellId="1" sqref="K56 K90"/>
      <selection pane="bottomRight" activeCell="K140" sqref="K140"/>
    </sheetView>
  </sheetViews>
  <sheetFormatPr defaultRowHeight="13.5" x14ac:dyDescent="0.15"/>
  <cols>
    <col min="1" max="1" width="1.5" style="1" customWidth="1"/>
    <col min="2" max="2" width="2.125" style="1" customWidth="1"/>
    <col min="3" max="3" width="2.5" style="1" customWidth="1"/>
    <col min="4" max="4" width="1.625" style="1" customWidth="1"/>
    <col min="5" max="5" width="6.625" style="2" customWidth="1"/>
    <col min="6" max="6" width="7.625" style="2" customWidth="1"/>
    <col min="7" max="7" width="1.75" style="2" customWidth="1"/>
    <col min="8" max="8" width="14.625" style="2" customWidth="1"/>
    <col min="9" max="10" width="1.5" style="2" customWidth="1"/>
    <col min="11" max="11" width="14.625" style="2" customWidth="1"/>
    <col min="12" max="12" width="1.5" style="2" customWidth="1"/>
    <col min="13" max="16" width="14.625" style="4" customWidth="1"/>
    <col min="17" max="17" width="10.25" style="4" bestFit="1" customWidth="1"/>
    <col min="18" max="18" width="9.25" style="4" bestFit="1" customWidth="1"/>
    <col min="19" max="19" width="10.5" style="4" bestFit="1" customWidth="1"/>
    <col min="20" max="20" width="10" style="4" bestFit="1" customWidth="1"/>
    <col min="21" max="256" width="9" style="1"/>
    <col min="257" max="257" width="1.5" style="1" customWidth="1"/>
    <col min="258" max="258" width="2.125" style="1" customWidth="1"/>
    <col min="259" max="259" width="2.5" style="1" customWidth="1"/>
    <col min="260" max="260" width="1.625" style="1" customWidth="1"/>
    <col min="261" max="261" width="6.625" style="1" customWidth="1"/>
    <col min="262" max="262" width="7.625" style="1" customWidth="1"/>
    <col min="263" max="263" width="1.75" style="1" customWidth="1"/>
    <col min="264" max="264" width="12.25" style="1" customWidth="1"/>
    <col min="265" max="266" width="1.5" style="1" customWidth="1"/>
    <col min="267" max="267" width="12.25" style="1" customWidth="1"/>
    <col min="268" max="268" width="1.5" style="1" customWidth="1"/>
    <col min="269" max="269" width="13.25" style="1" customWidth="1"/>
    <col min="270" max="272" width="12.25" style="1" customWidth="1"/>
    <col min="273" max="273" width="10.25" style="1" bestFit="1" customWidth="1"/>
    <col min="274" max="274" width="9.25" style="1" bestFit="1" customWidth="1"/>
    <col min="275" max="275" width="10.5" style="1" bestFit="1" customWidth="1"/>
    <col min="276" max="276" width="10" style="1" bestFit="1" customWidth="1"/>
    <col min="277" max="512" width="9" style="1"/>
    <col min="513" max="513" width="1.5" style="1" customWidth="1"/>
    <col min="514" max="514" width="2.125" style="1" customWidth="1"/>
    <col min="515" max="515" width="2.5" style="1" customWidth="1"/>
    <col min="516" max="516" width="1.625" style="1" customWidth="1"/>
    <col min="517" max="517" width="6.625" style="1" customWidth="1"/>
    <col min="518" max="518" width="7.625" style="1" customWidth="1"/>
    <col min="519" max="519" width="1.75" style="1" customWidth="1"/>
    <col min="520" max="520" width="12.25" style="1" customWidth="1"/>
    <col min="521" max="522" width="1.5" style="1" customWidth="1"/>
    <col min="523" max="523" width="12.25" style="1" customWidth="1"/>
    <col min="524" max="524" width="1.5" style="1" customWidth="1"/>
    <col min="525" max="525" width="13.25" style="1" customWidth="1"/>
    <col min="526" max="528" width="12.25" style="1" customWidth="1"/>
    <col min="529" max="529" width="10.25" style="1" bestFit="1" customWidth="1"/>
    <col min="530" max="530" width="9.25" style="1" bestFit="1" customWidth="1"/>
    <col min="531" max="531" width="10.5" style="1" bestFit="1" customWidth="1"/>
    <col min="532" max="532" width="10" style="1" bestFit="1" customWidth="1"/>
    <col min="533" max="768" width="9" style="1"/>
    <col min="769" max="769" width="1.5" style="1" customWidth="1"/>
    <col min="770" max="770" width="2.125" style="1" customWidth="1"/>
    <col min="771" max="771" width="2.5" style="1" customWidth="1"/>
    <col min="772" max="772" width="1.625" style="1" customWidth="1"/>
    <col min="773" max="773" width="6.625" style="1" customWidth="1"/>
    <col min="774" max="774" width="7.625" style="1" customWidth="1"/>
    <col min="775" max="775" width="1.75" style="1" customWidth="1"/>
    <col min="776" max="776" width="12.25" style="1" customWidth="1"/>
    <col min="777" max="778" width="1.5" style="1" customWidth="1"/>
    <col min="779" max="779" width="12.25" style="1" customWidth="1"/>
    <col min="780" max="780" width="1.5" style="1" customWidth="1"/>
    <col min="781" max="781" width="13.25" style="1" customWidth="1"/>
    <col min="782" max="784" width="12.25" style="1" customWidth="1"/>
    <col min="785" max="785" width="10.25" style="1" bestFit="1" customWidth="1"/>
    <col min="786" max="786" width="9.25" style="1" bestFit="1" customWidth="1"/>
    <col min="787" max="787" width="10.5" style="1" bestFit="1" customWidth="1"/>
    <col min="788" max="788" width="10" style="1" bestFit="1" customWidth="1"/>
    <col min="789" max="1024" width="9" style="1"/>
    <col min="1025" max="1025" width="1.5" style="1" customWidth="1"/>
    <col min="1026" max="1026" width="2.125" style="1" customWidth="1"/>
    <col min="1027" max="1027" width="2.5" style="1" customWidth="1"/>
    <col min="1028" max="1028" width="1.625" style="1" customWidth="1"/>
    <col min="1029" max="1029" width="6.625" style="1" customWidth="1"/>
    <col min="1030" max="1030" width="7.625" style="1" customWidth="1"/>
    <col min="1031" max="1031" width="1.75" style="1" customWidth="1"/>
    <col min="1032" max="1032" width="12.25" style="1" customWidth="1"/>
    <col min="1033" max="1034" width="1.5" style="1" customWidth="1"/>
    <col min="1035" max="1035" width="12.25" style="1" customWidth="1"/>
    <col min="1036" max="1036" width="1.5" style="1" customWidth="1"/>
    <col min="1037" max="1037" width="13.25" style="1" customWidth="1"/>
    <col min="1038" max="1040" width="12.25" style="1" customWidth="1"/>
    <col min="1041" max="1041" width="10.25" style="1" bestFit="1" customWidth="1"/>
    <col min="1042" max="1042" width="9.25" style="1" bestFit="1" customWidth="1"/>
    <col min="1043" max="1043" width="10.5" style="1" bestFit="1" customWidth="1"/>
    <col min="1044" max="1044" width="10" style="1" bestFit="1" customWidth="1"/>
    <col min="1045" max="1280" width="9" style="1"/>
    <col min="1281" max="1281" width="1.5" style="1" customWidth="1"/>
    <col min="1282" max="1282" width="2.125" style="1" customWidth="1"/>
    <col min="1283" max="1283" width="2.5" style="1" customWidth="1"/>
    <col min="1284" max="1284" width="1.625" style="1" customWidth="1"/>
    <col min="1285" max="1285" width="6.625" style="1" customWidth="1"/>
    <col min="1286" max="1286" width="7.625" style="1" customWidth="1"/>
    <col min="1287" max="1287" width="1.75" style="1" customWidth="1"/>
    <col min="1288" max="1288" width="12.25" style="1" customWidth="1"/>
    <col min="1289" max="1290" width="1.5" style="1" customWidth="1"/>
    <col min="1291" max="1291" width="12.25" style="1" customWidth="1"/>
    <col min="1292" max="1292" width="1.5" style="1" customWidth="1"/>
    <col min="1293" max="1293" width="13.25" style="1" customWidth="1"/>
    <col min="1294" max="1296" width="12.25" style="1" customWidth="1"/>
    <col min="1297" max="1297" width="10.25" style="1" bestFit="1" customWidth="1"/>
    <col min="1298" max="1298" width="9.25" style="1" bestFit="1" customWidth="1"/>
    <col min="1299" max="1299" width="10.5" style="1" bestFit="1" customWidth="1"/>
    <col min="1300" max="1300" width="10" style="1" bestFit="1" customWidth="1"/>
    <col min="1301" max="1536" width="9" style="1"/>
    <col min="1537" max="1537" width="1.5" style="1" customWidth="1"/>
    <col min="1538" max="1538" width="2.125" style="1" customWidth="1"/>
    <col min="1539" max="1539" width="2.5" style="1" customWidth="1"/>
    <col min="1540" max="1540" width="1.625" style="1" customWidth="1"/>
    <col min="1541" max="1541" width="6.625" style="1" customWidth="1"/>
    <col min="1542" max="1542" width="7.625" style="1" customWidth="1"/>
    <col min="1543" max="1543" width="1.75" style="1" customWidth="1"/>
    <col min="1544" max="1544" width="12.25" style="1" customWidth="1"/>
    <col min="1545" max="1546" width="1.5" style="1" customWidth="1"/>
    <col min="1547" max="1547" width="12.25" style="1" customWidth="1"/>
    <col min="1548" max="1548" width="1.5" style="1" customWidth="1"/>
    <col min="1549" max="1549" width="13.25" style="1" customWidth="1"/>
    <col min="1550" max="1552" width="12.25" style="1" customWidth="1"/>
    <col min="1553" max="1553" width="10.25" style="1" bestFit="1" customWidth="1"/>
    <col min="1554" max="1554" width="9.25" style="1" bestFit="1" customWidth="1"/>
    <col min="1555" max="1555" width="10.5" style="1" bestFit="1" customWidth="1"/>
    <col min="1556" max="1556" width="10" style="1" bestFit="1" customWidth="1"/>
    <col min="1557" max="1792" width="9" style="1"/>
    <col min="1793" max="1793" width="1.5" style="1" customWidth="1"/>
    <col min="1794" max="1794" width="2.125" style="1" customWidth="1"/>
    <col min="1795" max="1795" width="2.5" style="1" customWidth="1"/>
    <col min="1796" max="1796" width="1.625" style="1" customWidth="1"/>
    <col min="1797" max="1797" width="6.625" style="1" customWidth="1"/>
    <col min="1798" max="1798" width="7.625" style="1" customWidth="1"/>
    <col min="1799" max="1799" width="1.75" style="1" customWidth="1"/>
    <col min="1800" max="1800" width="12.25" style="1" customWidth="1"/>
    <col min="1801" max="1802" width="1.5" style="1" customWidth="1"/>
    <col min="1803" max="1803" width="12.25" style="1" customWidth="1"/>
    <col min="1804" max="1804" width="1.5" style="1" customWidth="1"/>
    <col min="1805" max="1805" width="13.25" style="1" customWidth="1"/>
    <col min="1806" max="1808" width="12.25" style="1" customWidth="1"/>
    <col min="1809" max="1809" width="10.25" style="1" bestFit="1" customWidth="1"/>
    <col min="1810" max="1810" width="9.25" style="1" bestFit="1" customWidth="1"/>
    <col min="1811" max="1811" width="10.5" style="1" bestFit="1" customWidth="1"/>
    <col min="1812" max="1812" width="10" style="1" bestFit="1" customWidth="1"/>
    <col min="1813" max="2048" width="9" style="1"/>
    <col min="2049" max="2049" width="1.5" style="1" customWidth="1"/>
    <col min="2050" max="2050" width="2.125" style="1" customWidth="1"/>
    <col min="2051" max="2051" width="2.5" style="1" customWidth="1"/>
    <col min="2052" max="2052" width="1.625" style="1" customWidth="1"/>
    <col min="2053" max="2053" width="6.625" style="1" customWidth="1"/>
    <col min="2054" max="2054" width="7.625" style="1" customWidth="1"/>
    <col min="2055" max="2055" width="1.75" style="1" customWidth="1"/>
    <col min="2056" max="2056" width="12.25" style="1" customWidth="1"/>
    <col min="2057" max="2058" width="1.5" style="1" customWidth="1"/>
    <col min="2059" max="2059" width="12.25" style="1" customWidth="1"/>
    <col min="2060" max="2060" width="1.5" style="1" customWidth="1"/>
    <col min="2061" max="2061" width="13.25" style="1" customWidth="1"/>
    <col min="2062" max="2064" width="12.25" style="1" customWidth="1"/>
    <col min="2065" max="2065" width="10.25" style="1" bestFit="1" customWidth="1"/>
    <col min="2066" max="2066" width="9.25" style="1" bestFit="1" customWidth="1"/>
    <col min="2067" max="2067" width="10.5" style="1" bestFit="1" customWidth="1"/>
    <col min="2068" max="2068" width="10" style="1" bestFit="1" customWidth="1"/>
    <col min="2069" max="2304" width="9" style="1"/>
    <col min="2305" max="2305" width="1.5" style="1" customWidth="1"/>
    <col min="2306" max="2306" width="2.125" style="1" customWidth="1"/>
    <col min="2307" max="2307" width="2.5" style="1" customWidth="1"/>
    <col min="2308" max="2308" width="1.625" style="1" customWidth="1"/>
    <col min="2309" max="2309" width="6.625" style="1" customWidth="1"/>
    <col min="2310" max="2310" width="7.625" style="1" customWidth="1"/>
    <col min="2311" max="2311" width="1.75" style="1" customWidth="1"/>
    <col min="2312" max="2312" width="12.25" style="1" customWidth="1"/>
    <col min="2313" max="2314" width="1.5" style="1" customWidth="1"/>
    <col min="2315" max="2315" width="12.25" style="1" customWidth="1"/>
    <col min="2316" max="2316" width="1.5" style="1" customWidth="1"/>
    <col min="2317" max="2317" width="13.25" style="1" customWidth="1"/>
    <col min="2318" max="2320" width="12.25" style="1" customWidth="1"/>
    <col min="2321" max="2321" width="10.25" style="1" bestFit="1" customWidth="1"/>
    <col min="2322" max="2322" width="9.25" style="1" bestFit="1" customWidth="1"/>
    <col min="2323" max="2323" width="10.5" style="1" bestFit="1" customWidth="1"/>
    <col min="2324" max="2324" width="10" style="1" bestFit="1" customWidth="1"/>
    <col min="2325" max="2560" width="9" style="1"/>
    <col min="2561" max="2561" width="1.5" style="1" customWidth="1"/>
    <col min="2562" max="2562" width="2.125" style="1" customWidth="1"/>
    <col min="2563" max="2563" width="2.5" style="1" customWidth="1"/>
    <col min="2564" max="2564" width="1.625" style="1" customWidth="1"/>
    <col min="2565" max="2565" width="6.625" style="1" customWidth="1"/>
    <col min="2566" max="2566" width="7.625" style="1" customWidth="1"/>
    <col min="2567" max="2567" width="1.75" style="1" customWidth="1"/>
    <col min="2568" max="2568" width="12.25" style="1" customWidth="1"/>
    <col min="2569" max="2570" width="1.5" style="1" customWidth="1"/>
    <col min="2571" max="2571" width="12.25" style="1" customWidth="1"/>
    <col min="2572" max="2572" width="1.5" style="1" customWidth="1"/>
    <col min="2573" max="2573" width="13.25" style="1" customWidth="1"/>
    <col min="2574" max="2576" width="12.25" style="1" customWidth="1"/>
    <col min="2577" max="2577" width="10.25" style="1" bestFit="1" customWidth="1"/>
    <col min="2578" max="2578" width="9.25" style="1" bestFit="1" customWidth="1"/>
    <col min="2579" max="2579" width="10.5" style="1" bestFit="1" customWidth="1"/>
    <col min="2580" max="2580" width="10" style="1" bestFit="1" customWidth="1"/>
    <col min="2581" max="2816" width="9" style="1"/>
    <col min="2817" max="2817" width="1.5" style="1" customWidth="1"/>
    <col min="2818" max="2818" width="2.125" style="1" customWidth="1"/>
    <col min="2819" max="2819" width="2.5" style="1" customWidth="1"/>
    <col min="2820" max="2820" width="1.625" style="1" customWidth="1"/>
    <col min="2821" max="2821" width="6.625" style="1" customWidth="1"/>
    <col min="2822" max="2822" width="7.625" style="1" customWidth="1"/>
    <col min="2823" max="2823" width="1.75" style="1" customWidth="1"/>
    <col min="2824" max="2824" width="12.25" style="1" customWidth="1"/>
    <col min="2825" max="2826" width="1.5" style="1" customWidth="1"/>
    <col min="2827" max="2827" width="12.25" style="1" customWidth="1"/>
    <col min="2828" max="2828" width="1.5" style="1" customWidth="1"/>
    <col min="2829" max="2829" width="13.25" style="1" customWidth="1"/>
    <col min="2830" max="2832" width="12.25" style="1" customWidth="1"/>
    <col min="2833" max="2833" width="10.25" style="1" bestFit="1" customWidth="1"/>
    <col min="2834" max="2834" width="9.25" style="1" bestFit="1" customWidth="1"/>
    <col min="2835" max="2835" width="10.5" style="1" bestFit="1" customWidth="1"/>
    <col min="2836" max="2836" width="10" style="1" bestFit="1" customWidth="1"/>
    <col min="2837" max="3072" width="9" style="1"/>
    <col min="3073" max="3073" width="1.5" style="1" customWidth="1"/>
    <col min="3074" max="3074" width="2.125" style="1" customWidth="1"/>
    <col min="3075" max="3075" width="2.5" style="1" customWidth="1"/>
    <col min="3076" max="3076" width="1.625" style="1" customWidth="1"/>
    <col min="3077" max="3077" width="6.625" style="1" customWidth="1"/>
    <col min="3078" max="3078" width="7.625" style="1" customWidth="1"/>
    <col min="3079" max="3079" width="1.75" style="1" customWidth="1"/>
    <col min="3080" max="3080" width="12.25" style="1" customWidth="1"/>
    <col min="3081" max="3082" width="1.5" style="1" customWidth="1"/>
    <col min="3083" max="3083" width="12.25" style="1" customWidth="1"/>
    <col min="3084" max="3084" width="1.5" style="1" customWidth="1"/>
    <col min="3085" max="3085" width="13.25" style="1" customWidth="1"/>
    <col min="3086" max="3088" width="12.25" style="1" customWidth="1"/>
    <col min="3089" max="3089" width="10.25" style="1" bestFit="1" customWidth="1"/>
    <col min="3090" max="3090" width="9.25" style="1" bestFit="1" customWidth="1"/>
    <col min="3091" max="3091" width="10.5" style="1" bestFit="1" customWidth="1"/>
    <col min="3092" max="3092" width="10" style="1" bestFit="1" customWidth="1"/>
    <col min="3093" max="3328" width="9" style="1"/>
    <col min="3329" max="3329" width="1.5" style="1" customWidth="1"/>
    <col min="3330" max="3330" width="2.125" style="1" customWidth="1"/>
    <col min="3331" max="3331" width="2.5" style="1" customWidth="1"/>
    <col min="3332" max="3332" width="1.625" style="1" customWidth="1"/>
    <col min="3333" max="3333" width="6.625" style="1" customWidth="1"/>
    <col min="3334" max="3334" width="7.625" style="1" customWidth="1"/>
    <col min="3335" max="3335" width="1.75" style="1" customWidth="1"/>
    <col min="3336" max="3336" width="12.25" style="1" customWidth="1"/>
    <col min="3337" max="3338" width="1.5" style="1" customWidth="1"/>
    <col min="3339" max="3339" width="12.25" style="1" customWidth="1"/>
    <col min="3340" max="3340" width="1.5" style="1" customWidth="1"/>
    <col min="3341" max="3341" width="13.25" style="1" customWidth="1"/>
    <col min="3342" max="3344" width="12.25" style="1" customWidth="1"/>
    <col min="3345" max="3345" width="10.25" style="1" bestFit="1" customWidth="1"/>
    <col min="3346" max="3346" width="9.25" style="1" bestFit="1" customWidth="1"/>
    <col min="3347" max="3347" width="10.5" style="1" bestFit="1" customWidth="1"/>
    <col min="3348" max="3348" width="10" style="1" bestFit="1" customWidth="1"/>
    <col min="3349" max="3584" width="9" style="1"/>
    <col min="3585" max="3585" width="1.5" style="1" customWidth="1"/>
    <col min="3586" max="3586" width="2.125" style="1" customWidth="1"/>
    <col min="3587" max="3587" width="2.5" style="1" customWidth="1"/>
    <col min="3588" max="3588" width="1.625" style="1" customWidth="1"/>
    <col min="3589" max="3589" width="6.625" style="1" customWidth="1"/>
    <col min="3590" max="3590" width="7.625" style="1" customWidth="1"/>
    <col min="3591" max="3591" width="1.75" style="1" customWidth="1"/>
    <col min="3592" max="3592" width="12.25" style="1" customWidth="1"/>
    <col min="3593" max="3594" width="1.5" style="1" customWidth="1"/>
    <col min="3595" max="3595" width="12.25" style="1" customWidth="1"/>
    <col min="3596" max="3596" width="1.5" style="1" customWidth="1"/>
    <col min="3597" max="3597" width="13.25" style="1" customWidth="1"/>
    <col min="3598" max="3600" width="12.25" style="1" customWidth="1"/>
    <col min="3601" max="3601" width="10.25" style="1" bestFit="1" customWidth="1"/>
    <col min="3602" max="3602" width="9.25" style="1" bestFit="1" customWidth="1"/>
    <col min="3603" max="3603" width="10.5" style="1" bestFit="1" customWidth="1"/>
    <col min="3604" max="3604" width="10" style="1" bestFit="1" customWidth="1"/>
    <col min="3605" max="3840" width="9" style="1"/>
    <col min="3841" max="3841" width="1.5" style="1" customWidth="1"/>
    <col min="3842" max="3842" width="2.125" style="1" customWidth="1"/>
    <col min="3843" max="3843" width="2.5" style="1" customWidth="1"/>
    <col min="3844" max="3844" width="1.625" style="1" customWidth="1"/>
    <col min="3845" max="3845" width="6.625" style="1" customWidth="1"/>
    <col min="3846" max="3846" width="7.625" style="1" customWidth="1"/>
    <col min="3847" max="3847" width="1.75" style="1" customWidth="1"/>
    <col min="3848" max="3848" width="12.25" style="1" customWidth="1"/>
    <col min="3849" max="3850" width="1.5" style="1" customWidth="1"/>
    <col min="3851" max="3851" width="12.25" style="1" customWidth="1"/>
    <col min="3852" max="3852" width="1.5" style="1" customWidth="1"/>
    <col min="3853" max="3853" width="13.25" style="1" customWidth="1"/>
    <col min="3854" max="3856" width="12.25" style="1" customWidth="1"/>
    <col min="3857" max="3857" width="10.25" style="1" bestFit="1" customWidth="1"/>
    <col min="3858" max="3858" width="9.25" style="1" bestFit="1" customWidth="1"/>
    <col min="3859" max="3859" width="10.5" style="1" bestFit="1" customWidth="1"/>
    <col min="3860" max="3860" width="10" style="1" bestFit="1" customWidth="1"/>
    <col min="3861" max="4096" width="9" style="1"/>
    <col min="4097" max="4097" width="1.5" style="1" customWidth="1"/>
    <col min="4098" max="4098" width="2.125" style="1" customWidth="1"/>
    <col min="4099" max="4099" width="2.5" style="1" customWidth="1"/>
    <col min="4100" max="4100" width="1.625" style="1" customWidth="1"/>
    <col min="4101" max="4101" width="6.625" style="1" customWidth="1"/>
    <col min="4102" max="4102" width="7.625" style="1" customWidth="1"/>
    <col min="4103" max="4103" width="1.75" style="1" customWidth="1"/>
    <col min="4104" max="4104" width="12.25" style="1" customWidth="1"/>
    <col min="4105" max="4106" width="1.5" style="1" customWidth="1"/>
    <col min="4107" max="4107" width="12.25" style="1" customWidth="1"/>
    <col min="4108" max="4108" width="1.5" style="1" customWidth="1"/>
    <col min="4109" max="4109" width="13.25" style="1" customWidth="1"/>
    <col min="4110" max="4112" width="12.25" style="1" customWidth="1"/>
    <col min="4113" max="4113" width="10.25" style="1" bestFit="1" customWidth="1"/>
    <col min="4114" max="4114" width="9.25" style="1" bestFit="1" customWidth="1"/>
    <col min="4115" max="4115" width="10.5" style="1" bestFit="1" customWidth="1"/>
    <col min="4116" max="4116" width="10" style="1" bestFit="1" customWidth="1"/>
    <col min="4117" max="4352" width="9" style="1"/>
    <col min="4353" max="4353" width="1.5" style="1" customWidth="1"/>
    <col min="4354" max="4354" width="2.125" style="1" customWidth="1"/>
    <col min="4355" max="4355" width="2.5" style="1" customWidth="1"/>
    <col min="4356" max="4356" width="1.625" style="1" customWidth="1"/>
    <col min="4357" max="4357" width="6.625" style="1" customWidth="1"/>
    <col min="4358" max="4358" width="7.625" style="1" customWidth="1"/>
    <col min="4359" max="4359" width="1.75" style="1" customWidth="1"/>
    <col min="4360" max="4360" width="12.25" style="1" customWidth="1"/>
    <col min="4361" max="4362" width="1.5" style="1" customWidth="1"/>
    <col min="4363" max="4363" width="12.25" style="1" customWidth="1"/>
    <col min="4364" max="4364" width="1.5" style="1" customWidth="1"/>
    <col min="4365" max="4365" width="13.25" style="1" customWidth="1"/>
    <col min="4366" max="4368" width="12.25" style="1" customWidth="1"/>
    <col min="4369" max="4369" width="10.25" style="1" bestFit="1" customWidth="1"/>
    <col min="4370" max="4370" width="9.25" style="1" bestFit="1" customWidth="1"/>
    <col min="4371" max="4371" width="10.5" style="1" bestFit="1" customWidth="1"/>
    <col min="4372" max="4372" width="10" style="1" bestFit="1" customWidth="1"/>
    <col min="4373" max="4608" width="9" style="1"/>
    <col min="4609" max="4609" width="1.5" style="1" customWidth="1"/>
    <col min="4610" max="4610" width="2.125" style="1" customWidth="1"/>
    <col min="4611" max="4611" width="2.5" style="1" customWidth="1"/>
    <col min="4612" max="4612" width="1.625" style="1" customWidth="1"/>
    <col min="4613" max="4613" width="6.625" style="1" customWidth="1"/>
    <col min="4614" max="4614" width="7.625" style="1" customWidth="1"/>
    <col min="4615" max="4615" width="1.75" style="1" customWidth="1"/>
    <col min="4616" max="4616" width="12.25" style="1" customWidth="1"/>
    <col min="4617" max="4618" width="1.5" style="1" customWidth="1"/>
    <col min="4619" max="4619" width="12.25" style="1" customWidth="1"/>
    <col min="4620" max="4620" width="1.5" style="1" customWidth="1"/>
    <col min="4621" max="4621" width="13.25" style="1" customWidth="1"/>
    <col min="4622" max="4624" width="12.25" style="1" customWidth="1"/>
    <col min="4625" max="4625" width="10.25" style="1" bestFit="1" customWidth="1"/>
    <col min="4626" max="4626" width="9.25" style="1" bestFit="1" customWidth="1"/>
    <col min="4627" max="4627" width="10.5" style="1" bestFit="1" customWidth="1"/>
    <col min="4628" max="4628" width="10" style="1" bestFit="1" customWidth="1"/>
    <col min="4629" max="4864" width="9" style="1"/>
    <col min="4865" max="4865" width="1.5" style="1" customWidth="1"/>
    <col min="4866" max="4866" width="2.125" style="1" customWidth="1"/>
    <col min="4867" max="4867" width="2.5" style="1" customWidth="1"/>
    <col min="4868" max="4868" width="1.625" style="1" customWidth="1"/>
    <col min="4869" max="4869" width="6.625" style="1" customWidth="1"/>
    <col min="4870" max="4870" width="7.625" style="1" customWidth="1"/>
    <col min="4871" max="4871" width="1.75" style="1" customWidth="1"/>
    <col min="4872" max="4872" width="12.25" style="1" customWidth="1"/>
    <col min="4873" max="4874" width="1.5" style="1" customWidth="1"/>
    <col min="4875" max="4875" width="12.25" style="1" customWidth="1"/>
    <col min="4876" max="4876" width="1.5" style="1" customWidth="1"/>
    <col min="4877" max="4877" width="13.25" style="1" customWidth="1"/>
    <col min="4878" max="4880" width="12.25" style="1" customWidth="1"/>
    <col min="4881" max="4881" width="10.25" style="1" bestFit="1" customWidth="1"/>
    <col min="4882" max="4882" width="9.25" style="1" bestFit="1" customWidth="1"/>
    <col min="4883" max="4883" width="10.5" style="1" bestFit="1" customWidth="1"/>
    <col min="4884" max="4884" width="10" style="1" bestFit="1" customWidth="1"/>
    <col min="4885" max="5120" width="9" style="1"/>
    <col min="5121" max="5121" width="1.5" style="1" customWidth="1"/>
    <col min="5122" max="5122" width="2.125" style="1" customWidth="1"/>
    <col min="5123" max="5123" width="2.5" style="1" customWidth="1"/>
    <col min="5124" max="5124" width="1.625" style="1" customWidth="1"/>
    <col min="5125" max="5125" width="6.625" style="1" customWidth="1"/>
    <col min="5126" max="5126" width="7.625" style="1" customWidth="1"/>
    <col min="5127" max="5127" width="1.75" style="1" customWidth="1"/>
    <col min="5128" max="5128" width="12.25" style="1" customWidth="1"/>
    <col min="5129" max="5130" width="1.5" style="1" customWidth="1"/>
    <col min="5131" max="5131" width="12.25" style="1" customWidth="1"/>
    <col min="5132" max="5132" width="1.5" style="1" customWidth="1"/>
    <col min="5133" max="5133" width="13.25" style="1" customWidth="1"/>
    <col min="5134" max="5136" width="12.25" style="1" customWidth="1"/>
    <col min="5137" max="5137" width="10.25" style="1" bestFit="1" customWidth="1"/>
    <col min="5138" max="5138" width="9.25" style="1" bestFit="1" customWidth="1"/>
    <col min="5139" max="5139" width="10.5" style="1" bestFit="1" customWidth="1"/>
    <col min="5140" max="5140" width="10" style="1" bestFit="1" customWidth="1"/>
    <col min="5141" max="5376" width="9" style="1"/>
    <col min="5377" max="5377" width="1.5" style="1" customWidth="1"/>
    <col min="5378" max="5378" width="2.125" style="1" customWidth="1"/>
    <col min="5379" max="5379" width="2.5" style="1" customWidth="1"/>
    <col min="5380" max="5380" width="1.625" style="1" customWidth="1"/>
    <col min="5381" max="5381" width="6.625" style="1" customWidth="1"/>
    <col min="5382" max="5382" width="7.625" style="1" customWidth="1"/>
    <col min="5383" max="5383" width="1.75" style="1" customWidth="1"/>
    <col min="5384" max="5384" width="12.25" style="1" customWidth="1"/>
    <col min="5385" max="5386" width="1.5" style="1" customWidth="1"/>
    <col min="5387" max="5387" width="12.25" style="1" customWidth="1"/>
    <col min="5388" max="5388" width="1.5" style="1" customWidth="1"/>
    <col min="5389" max="5389" width="13.25" style="1" customWidth="1"/>
    <col min="5390" max="5392" width="12.25" style="1" customWidth="1"/>
    <col min="5393" max="5393" width="10.25" style="1" bestFit="1" customWidth="1"/>
    <col min="5394" max="5394" width="9.25" style="1" bestFit="1" customWidth="1"/>
    <col min="5395" max="5395" width="10.5" style="1" bestFit="1" customWidth="1"/>
    <col min="5396" max="5396" width="10" style="1" bestFit="1" customWidth="1"/>
    <col min="5397" max="5632" width="9" style="1"/>
    <col min="5633" max="5633" width="1.5" style="1" customWidth="1"/>
    <col min="5634" max="5634" width="2.125" style="1" customWidth="1"/>
    <col min="5635" max="5635" width="2.5" style="1" customWidth="1"/>
    <col min="5636" max="5636" width="1.625" style="1" customWidth="1"/>
    <col min="5637" max="5637" width="6.625" style="1" customWidth="1"/>
    <col min="5638" max="5638" width="7.625" style="1" customWidth="1"/>
    <col min="5639" max="5639" width="1.75" style="1" customWidth="1"/>
    <col min="5640" max="5640" width="12.25" style="1" customWidth="1"/>
    <col min="5641" max="5642" width="1.5" style="1" customWidth="1"/>
    <col min="5643" max="5643" width="12.25" style="1" customWidth="1"/>
    <col min="5644" max="5644" width="1.5" style="1" customWidth="1"/>
    <col min="5645" max="5645" width="13.25" style="1" customWidth="1"/>
    <col min="5646" max="5648" width="12.25" style="1" customWidth="1"/>
    <col min="5649" max="5649" width="10.25" style="1" bestFit="1" customWidth="1"/>
    <col min="5650" max="5650" width="9.25" style="1" bestFit="1" customWidth="1"/>
    <col min="5651" max="5651" width="10.5" style="1" bestFit="1" customWidth="1"/>
    <col min="5652" max="5652" width="10" style="1" bestFit="1" customWidth="1"/>
    <col min="5653" max="5888" width="9" style="1"/>
    <col min="5889" max="5889" width="1.5" style="1" customWidth="1"/>
    <col min="5890" max="5890" width="2.125" style="1" customWidth="1"/>
    <col min="5891" max="5891" width="2.5" style="1" customWidth="1"/>
    <col min="5892" max="5892" width="1.625" style="1" customWidth="1"/>
    <col min="5893" max="5893" width="6.625" style="1" customWidth="1"/>
    <col min="5894" max="5894" width="7.625" style="1" customWidth="1"/>
    <col min="5895" max="5895" width="1.75" style="1" customWidth="1"/>
    <col min="5896" max="5896" width="12.25" style="1" customWidth="1"/>
    <col min="5897" max="5898" width="1.5" style="1" customWidth="1"/>
    <col min="5899" max="5899" width="12.25" style="1" customWidth="1"/>
    <col min="5900" max="5900" width="1.5" style="1" customWidth="1"/>
    <col min="5901" max="5901" width="13.25" style="1" customWidth="1"/>
    <col min="5902" max="5904" width="12.25" style="1" customWidth="1"/>
    <col min="5905" max="5905" width="10.25" style="1" bestFit="1" customWidth="1"/>
    <col min="5906" max="5906" width="9.25" style="1" bestFit="1" customWidth="1"/>
    <col min="5907" max="5907" width="10.5" style="1" bestFit="1" customWidth="1"/>
    <col min="5908" max="5908" width="10" style="1" bestFit="1" customWidth="1"/>
    <col min="5909" max="6144" width="9" style="1"/>
    <col min="6145" max="6145" width="1.5" style="1" customWidth="1"/>
    <col min="6146" max="6146" width="2.125" style="1" customWidth="1"/>
    <col min="6147" max="6147" width="2.5" style="1" customWidth="1"/>
    <col min="6148" max="6148" width="1.625" style="1" customWidth="1"/>
    <col min="6149" max="6149" width="6.625" style="1" customWidth="1"/>
    <col min="6150" max="6150" width="7.625" style="1" customWidth="1"/>
    <col min="6151" max="6151" width="1.75" style="1" customWidth="1"/>
    <col min="6152" max="6152" width="12.25" style="1" customWidth="1"/>
    <col min="6153" max="6154" width="1.5" style="1" customWidth="1"/>
    <col min="6155" max="6155" width="12.25" style="1" customWidth="1"/>
    <col min="6156" max="6156" width="1.5" style="1" customWidth="1"/>
    <col min="6157" max="6157" width="13.25" style="1" customWidth="1"/>
    <col min="6158" max="6160" width="12.25" style="1" customWidth="1"/>
    <col min="6161" max="6161" width="10.25" style="1" bestFit="1" customWidth="1"/>
    <col min="6162" max="6162" width="9.25" style="1" bestFit="1" customWidth="1"/>
    <col min="6163" max="6163" width="10.5" style="1" bestFit="1" customWidth="1"/>
    <col min="6164" max="6164" width="10" style="1" bestFit="1" customWidth="1"/>
    <col min="6165" max="6400" width="9" style="1"/>
    <col min="6401" max="6401" width="1.5" style="1" customWidth="1"/>
    <col min="6402" max="6402" width="2.125" style="1" customWidth="1"/>
    <col min="6403" max="6403" width="2.5" style="1" customWidth="1"/>
    <col min="6404" max="6404" width="1.625" style="1" customWidth="1"/>
    <col min="6405" max="6405" width="6.625" style="1" customWidth="1"/>
    <col min="6406" max="6406" width="7.625" style="1" customWidth="1"/>
    <col min="6407" max="6407" width="1.75" style="1" customWidth="1"/>
    <col min="6408" max="6408" width="12.25" style="1" customWidth="1"/>
    <col min="6409" max="6410" width="1.5" style="1" customWidth="1"/>
    <col min="6411" max="6411" width="12.25" style="1" customWidth="1"/>
    <col min="6412" max="6412" width="1.5" style="1" customWidth="1"/>
    <col min="6413" max="6413" width="13.25" style="1" customWidth="1"/>
    <col min="6414" max="6416" width="12.25" style="1" customWidth="1"/>
    <col min="6417" max="6417" width="10.25" style="1" bestFit="1" customWidth="1"/>
    <col min="6418" max="6418" width="9.25" style="1" bestFit="1" customWidth="1"/>
    <col min="6419" max="6419" width="10.5" style="1" bestFit="1" customWidth="1"/>
    <col min="6420" max="6420" width="10" style="1" bestFit="1" customWidth="1"/>
    <col min="6421" max="6656" width="9" style="1"/>
    <col min="6657" max="6657" width="1.5" style="1" customWidth="1"/>
    <col min="6658" max="6658" width="2.125" style="1" customWidth="1"/>
    <col min="6659" max="6659" width="2.5" style="1" customWidth="1"/>
    <col min="6660" max="6660" width="1.625" style="1" customWidth="1"/>
    <col min="6661" max="6661" width="6.625" style="1" customWidth="1"/>
    <col min="6662" max="6662" width="7.625" style="1" customWidth="1"/>
    <col min="6663" max="6663" width="1.75" style="1" customWidth="1"/>
    <col min="6664" max="6664" width="12.25" style="1" customWidth="1"/>
    <col min="6665" max="6666" width="1.5" style="1" customWidth="1"/>
    <col min="6667" max="6667" width="12.25" style="1" customWidth="1"/>
    <col min="6668" max="6668" width="1.5" style="1" customWidth="1"/>
    <col min="6669" max="6669" width="13.25" style="1" customWidth="1"/>
    <col min="6670" max="6672" width="12.25" style="1" customWidth="1"/>
    <col min="6673" max="6673" width="10.25" style="1" bestFit="1" customWidth="1"/>
    <col min="6674" max="6674" width="9.25" style="1" bestFit="1" customWidth="1"/>
    <col min="6675" max="6675" width="10.5" style="1" bestFit="1" customWidth="1"/>
    <col min="6676" max="6676" width="10" style="1" bestFit="1" customWidth="1"/>
    <col min="6677" max="6912" width="9" style="1"/>
    <col min="6913" max="6913" width="1.5" style="1" customWidth="1"/>
    <col min="6914" max="6914" width="2.125" style="1" customWidth="1"/>
    <col min="6915" max="6915" width="2.5" style="1" customWidth="1"/>
    <col min="6916" max="6916" width="1.625" style="1" customWidth="1"/>
    <col min="6917" max="6917" width="6.625" style="1" customWidth="1"/>
    <col min="6918" max="6918" width="7.625" style="1" customWidth="1"/>
    <col min="6919" max="6919" width="1.75" style="1" customWidth="1"/>
    <col min="6920" max="6920" width="12.25" style="1" customWidth="1"/>
    <col min="6921" max="6922" width="1.5" style="1" customWidth="1"/>
    <col min="6923" max="6923" width="12.25" style="1" customWidth="1"/>
    <col min="6924" max="6924" width="1.5" style="1" customWidth="1"/>
    <col min="6925" max="6925" width="13.25" style="1" customWidth="1"/>
    <col min="6926" max="6928" width="12.25" style="1" customWidth="1"/>
    <col min="6929" max="6929" width="10.25" style="1" bestFit="1" customWidth="1"/>
    <col min="6930" max="6930" width="9.25" style="1" bestFit="1" customWidth="1"/>
    <col min="6931" max="6931" width="10.5" style="1" bestFit="1" customWidth="1"/>
    <col min="6932" max="6932" width="10" style="1" bestFit="1" customWidth="1"/>
    <col min="6933" max="7168" width="9" style="1"/>
    <col min="7169" max="7169" width="1.5" style="1" customWidth="1"/>
    <col min="7170" max="7170" width="2.125" style="1" customWidth="1"/>
    <col min="7171" max="7171" width="2.5" style="1" customWidth="1"/>
    <col min="7172" max="7172" width="1.625" style="1" customWidth="1"/>
    <col min="7173" max="7173" width="6.625" style="1" customWidth="1"/>
    <col min="7174" max="7174" width="7.625" style="1" customWidth="1"/>
    <col min="7175" max="7175" width="1.75" style="1" customWidth="1"/>
    <col min="7176" max="7176" width="12.25" style="1" customWidth="1"/>
    <col min="7177" max="7178" width="1.5" style="1" customWidth="1"/>
    <col min="7179" max="7179" width="12.25" style="1" customWidth="1"/>
    <col min="7180" max="7180" width="1.5" style="1" customWidth="1"/>
    <col min="7181" max="7181" width="13.25" style="1" customWidth="1"/>
    <col min="7182" max="7184" width="12.25" style="1" customWidth="1"/>
    <col min="7185" max="7185" width="10.25" style="1" bestFit="1" customWidth="1"/>
    <col min="7186" max="7186" width="9.25" style="1" bestFit="1" customWidth="1"/>
    <col min="7187" max="7187" width="10.5" style="1" bestFit="1" customWidth="1"/>
    <col min="7188" max="7188" width="10" style="1" bestFit="1" customWidth="1"/>
    <col min="7189" max="7424" width="9" style="1"/>
    <col min="7425" max="7425" width="1.5" style="1" customWidth="1"/>
    <col min="7426" max="7426" width="2.125" style="1" customWidth="1"/>
    <col min="7427" max="7427" width="2.5" style="1" customWidth="1"/>
    <col min="7428" max="7428" width="1.625" style="1" customWidth="1"/>
    <col min="7429" max="7429" width="6.625" style="1" customWidth="1"/>
    <col min="7430" max="7430" width="7.625" style="1" customWidth="1"/>
    <col min="7431" max="7431" width="1.75" style="1" customWidth="1"/>
    <col min="7432" max="7432" width="12.25" style="1" customWidth="1"/>
    <col min="7433" max="7434" width="1.5" style="1" customWidth="1"/>
    <col min="7435" max="7435" width="12.25" style="1" customWidth="1"/>
    <col min="7436" max="7436" width="1.5" style="1" customWidth="1"/>
    <col min="7437" max="7437" width="13.25" style="1" customWidth="1"/>
    <col min="7438" max="7440" width="12.25" style="1" customWidth="1"/>
    <col min="7441" max="7441" width="10.25" style="1" bestFit="1" customWidth="1"/>
    <col min="7442" max="7442" width="9.25" style="1" bestFit="1" customWidth="1"/>
    <col min="7443" max="7443" width="10.5" style="1" bestFit="1" customWidth="1"/>
    <col min="7444" max="7444" width="10" style="1" bestFit="1" customWidth="1"/>
    <col min="7445" max="7680" width="9" style="1"/>
    <col min="7681" max="7681" width="1.5" style="1" customWidth="1"/>
    <col min="7682" max="7682" width="2.125" style="1" customWidth="1"/>
    <col min="7683" max="7683" width="2.5" style="1" customWidth="1"/>
    <col min="7684" max="7684" width="1.625" style="1" customWidth="1"/>
    <col min="7685" max="7685" width="6.625" style="1" customWidth="1"/>
    <col min="7686" max="7686" width="7.625" style="1" customWidth="1"/>
    <col min="7687" max="7687" width="1.75" style="1" customWidth="1"/>
    <col min="7688" max="7688" width="12.25" style="1" customWidth="1"/>
    <col min="7689" max="7690" width="1.5" style="1" customWidth="1"/>
    <col min="7691" max="7691" width="12.25" style="1" customWidth="1"/>
    <col min="7692" max="7692" width="1.5" style="1" customWidth="1"/>
    <col min="7693" max="7693" width="13.25" style="1" customWidth="1"/>
    <col min="7694" max="7696" width="12.25" style="1" customWidth="1"/>
    <col min="7697" max="7697" width="10.25" style="1" bestFit="1" customWidth="1"/>
    <col min="7698" max="7698" width="9.25" style="1" bestFit="1" customWidth="1"/>
    <col min="7699" max="7699" width="10.5" style="1" bestFit="1" customWidth="1"/>
    <col min="7700" max="7700" width="10" style="1" bestFit="1" customWidth="1"/>
    <col min="7701" max="7936" width="9" style="1"/>
    <col min="7937" max="7937" width="1.5" style="1" customWidth="1"/>
    <col min="7938" max="7938" width="2.125" style="1" customWidth="1"/>
    <col min="7939" max="7939" width="2.5" style="1" customWidth="1"/>
    <col min="7940" max="7940" width="1.625" style="1" customWidth="1"/>
    <col min="7941" max="7941" width="6.625" style="1" customWidth="1"/>
    <col min="7942" max="7942" width="7.625" style="1" customWidth="1"/>
    <col min="7943" max="7943" width="1.75" style="1" customWidth="1"/>
    <col min="7944" max="7944" width="12.25" style="1" customWidth="1"/>
    <col min="7945" max="7946" width="1.5" style="1" customWidth="1"/>
    <col min="7947" max="7947" width="12.25" style="1" customWidth="1"/>
    <col min="7948" max="7948" width="1.5" style="1" customWidth="1"/>
    <col min="7949" max="7949" width="13.25" style="1" customWidth="1"/>
    <col min="7950" max="7952" width="12.25" style="1" customWidth="1"/>
    <col min="7953" max="7953" width="10.25" style="1" bestFit="1" customWidth="1"/>
    <col min="7954" max="7954" width="9.25" style="1" bestFit="1" customWidth="1"/>
    <col min="7955" max="7955" width="10.5" style="1" bestFit="1" customWidth="1"/>
    <col min="7956" max="7956" width="10" style="1" bestFit="1" customWidth="1"/>
    <col min="7957" max="8192" width="9" style="1"/>
    <col min="8193" max="8193" width="1.5" style="1" customWidth="1"/>
    <col min="8194" max="8194" width="2.125" style="1" customWidth="1"/>
    <col min="8195" max="8195" width="2.5" style="1" customWidth="1"/>
    <col min="8196" max="8196" width="1.625" style="1" customWidth="1"/>
    <col min="8197" max="8197" width="6.625" style="1" customWidth="1"/>
    <col min="8198" max="8198" width="7.625" style="1" customWidth="1"/>
    <col min="8199" max="8199" width="1.75" style="1" customWidth="1"/>
    <col min="8200" max="8200" width="12.25" style="1" customWidth="1"/>
    <col min="8201" max="8202" width="1.5" style="1" customWidth="1"/>
    <col min="8203" max="8203" width="12.25" style="1" customWidth="1"/>
    <col min="8204" max="8204" width="1.5" style="1" customWidth="1"/>
    <col min="8205" max="8205" width="13.25" style="1" customWidth="1"/>
    <col min="8206" max="8208" width="12.25" style="1" customWidth="1"/>
    <col min="8209" max="8209" width="10.25" style="1" bestFit="1" customWidth="1"/>
    <col min="8210" max="8210" width="9.25" style="1" bestFit="1" customWidth="1"/>
    <col min="8211" max="8211" width="10.5" style="1" bestFit="1" customWidth="1"/>
    <col min="8212" max="8212" width="10" style="1" bestFit="1" customWidth="1"/>
    <col min="8213" max="8448" width="9" style="1"/>
    <col min="8449" max="8449" width="1.5" style="1" customWidth="1"/>
    <col min="8450" max="8450" width="2.125" style="1" customWidth="1"/>
    <col min="8451" max="8451" width="2.5" style="1" customWidth="1"/>
    <col min="8452" max="8452" width="1.625" style="1" customWidth="1"/>
    <col min="8453" max="8453" width="6.625" style="1" customWidth="1"/>
    <col min="8454" max="8454" width="7.625" style="1" customWidth="1"/>
    <col min="8455" max="8455" width="1.75" style="1" customWidth="1"/>
    <col min="8456" max="8456" width="12.25" style="1" customWidth="1"/>
    <col min="8457" max="8458" width="1.5" style="1" customWidth="1"/>
    <col min="8459" max="8459" width="12.25" style="1" customWidth="1"/>
    <col min="8460" max="8460" width="1.5" style="1" customWidth="1"/>
    <col min="8461" max="8461" width="13.25" style="1" customWidth="1"/>
    <col min="8462" max="8464" width="12.25" style="1" customWidth="1"/>
    <col min="8465" max="8465" width="10.25" style="1" bestFit="1" customWidth="1"/>
    <col min="8466" max="8466" width="9.25" style="1" bestFit="1" customWidth="1"/>
    <col min="8467" max="8467" width="10.5" style="1" bestFit="1" customWidth="1"/>
    <col min="8468" max="8468" width="10" style="1" bestFit="1" customWidth="1"/>
    <col min="8469" max="8704" width="9" style="1"/>
    <col min="8705" max="8705" width="1.5" style="1" customWidth="1"/>
    <col min="8706" max="8706" width="2.125" style="1" customWidth="1"/>
    <col min="8707" max="8707" width="2.5" style="1" customWidth="1"/>
    <col min="8708" max="8708" width="1.625" style="1" customWidth="1"/>
    <col min="8709" max="8709" width="6.625" style="1" customWidth="1"/>
    <col min="8710" max="8710" width="7.625" style="1" customWidth="1"/>
    <col min="8711" max="8711" width="1.75" style="1" customWidth="1"/>
    <col min="8712" max="8712" width="12.25" style="1" customWidth="1"/>
    <col min="8713" max="8714" width="1.5" style="1" customWidth="1"/>
    <col min="8715" max="8715" width="12.25" style="1" customWidth="1"/>
    <col min="8716" max="8716" width="1.5" style="1" customWidth="1"/>
    <col min="8717" max="8717" width="13.25" style="1" customWidth="1"/>
    <col min="8718" max="8720" width="12.25" style="1" customWidth="1"/>
    <col min="8721" max="8721" width="10.25" style="1" bestFit="1" customWidth="1"/>
    <col min="8722" max="8722" width="9.25" style="1" bestFit="1" customWidth="1"/>
    <col min="8723" max="8723" width="10.5" style="1" bestFit="1" customWidth="1"/>
    <col min="8724" max="8724" width="10" style="1" bestFit="1" customWidth="1"/>
    <col min="8725" max="8960" width="9" style="1"/>
    <col min="8961" max="8961" width="1.5" style="1" customWidth="1"/>
    <col min="8962" max="8962" width="2.125" style="1" customWidth="1"/>
    <col min="8963" max="8963" width="2.5" style="1" customWidth="1"/>
    <col min="8964" max="8964" width="1.625" style="1" customWidth="1"/>
    <col min="8965" max="8965" width="6.625" style="1" customWidth="1"/>
    <col min="8966" max="8966" width="7.625" style="1" customWidth="1"/>
    <col min="8967" max="8967" width="1.75" style="1" customWidth="1"/>
    <col min="8968" max="8968" width="12.25" style="1" customWidth="1"/>
    <col min="8969" max="8970" width="1.5" style="1" customWidth="1"/>
    <col min="8971" max="8971" width="12.25" style="1" customWidth="1"/>
    <col min="8972" max="8972" width="1.5" style="1" customWidth="1"/>
    <col min="8973" max="8973" width="13.25" style="1" customWidth="1"/>
    <col min="8974" max="8976" width="12.25" style="1" customWidth="1"/>
    <col min="8977" max="8977" width="10.25" style="1" bestFit="1" customWidth="1"/>
    <col min="8978" max="8978" width="9.25" style="1" bestFit="1" customWidth="1"/>
    <col min="8979" max="8979" width="10.5" style="1" bestFit="1" customWidth="1"/>
    <col min="8980" max="8980" width="10" style="1" bestFit="1" customWidth="1"/>
    <col min="8981" max="9216" width="9" style="1"/>
    <col min="9217" max="9217" width="1.5" style="1" customWidth="1"/>
    <col min="9218" max="9218" width="2.125" style="1" customWidth="1"/>
    <col min="9219" max="9219" width="2.5" style="1" customWidth="1"/>
    <col min="9220" max="9220" width="1.625" style="1" customWidth="1"/>
    <col min="9221" max="9221" width="6.625" style="1" customWidth="1"/>
    <col min="9222" max="9222" width="7.625" style="1" customWidth="1"/>
    <col min="9223" max="9223" width="1.75" style="1" customWidth="1"/>
    <col min="9224" max="9224" width="12.25" style="1" customWidth="1"/>
    <col min="9225" max="9226" width="1.5" style="1" customWidth="1"/>
    <col min="9227" max="9227" width="12.25" style="1" customWidth="1"/>
    <col min="9228" max="9228" width="1.5" style="1" customWidth="1"/>
    <col min="9229" max="9229" width="13.25" style="1" customWidth="1"/>
    <col min="9230" max="9232" width="12.25" style="1" customWidth="1"/>
    <col min="9233" max="9233" width="10.25" style="1" bestFit="1" customWidth="1"/>
    <col min="9234" max="9234" width="9.25" style="1" bestFit="1" customWidth="1"/>
    <col min="9235" max="9235" width="10.5" style="1" bestFit="1" customWidth="1"/>
    <col min="9236" max="9236" width="10" style="1" bestFit="1" customWidth="1"/>
    <col min="9237" max="9472" width="9" style="1"/>
    <col min="9473" max="9473" width="1.5" style="1" customWidth="1"/>
    <col min="9474" max="9474" width="2.125" style="1" customWidth="1"/>
    <col min="9475" max="9475" width="2.5" style="1" customWidth="1"/>
    <col min="9476" max="9476" width="1.625" style="1" customWidth="1"/>
    <col min="9477" max="9477" width="6.625" style="1" customWidth="1"/>
    <col min="9478" max="9478" width="7.625" style="1" customWidth="1"/>
    <col min="9479" max="9479" width="1.75" style="1" customWidth="1"/>
    <col min="9480" max="9480" width="12.25" style="1" customWidth="1"/>
    <col min="9481" max="9482" width="1.5" style="1" customWidth="1"/>
    <col min="9483" max="9483" width="12.25" style="1" customWidth="1"/>
    <col min="9484" max="9484" width="1.5" style="1" customWidth="1"/>
    <col min="9485" max="9485" width="13.25" style="1" customWidth="1"/>
    <col min="9486" max="9488" width="12.25" style="1" customWidth="1"/>
    <col min="9489" max="9489" width="10.25" style="1" bestFit="1" customWidth="1"/>
    <col min="9490" max="9490" width="9.25" style="1" bestFit="1" customWidth="1"/>
    <col min="9491" max="9491" width="10.5" style="1" bestFit="1" customWidth="1"/>
    <col min="9492" max="9492" width="10" style="1" bestFit="1" customWidth="1"/>
    <col min="9493" max="9728" width="9" style="1"/>
    <col min="9729" max="9729" width="1.5" style="1" customWidth="1"/>
    <col min="9730" max="9730" width="2.125" style="1" customWidth="1"/>
    <col min="9731" max="9731" width="2.5" style="1" customWidth="1"/>
    <col min="9732" max="9732" width="1.625" style="1" customWidth="1"/>
    <col min="9733" max="9733" width="6.625" style="1" customWidth="1"/>
    <col min="9734" max="9734" width="7.625" style="1" customWidth="1"/>
    <col min="9735" max="9735" width="1.75" style="1" customWidth="1"/>
    <col min="9736" max="9736" width="12.25" style="1" customWidth="1"/>
    <col min="9737" max="9738" width="1.5" style="1" customWidth="1"/>
    <col min="9739" max="9739" width="12.25" style="1" customWidth="1"/>
    <col min="9740" max="9740" width="1.5" style="1" customWidth="1"/>
    <col min="9741" max="9741" width="13.25" style="1" customWidth="1"/>
    <col min="9742" max="9744" width="12.25" style="1" customWidth="1"/>
    <col min="9745" max="9745" width="10.25" style="1" bestFit="1" customWidth="1"/>
    <col min="9746" max="9746" width="9.25" style="1" bestFit="1" customWidth="1"/>
    <col min="9747" max="9747" width="10.5" style="1" bestFit="1" customWidth="1"/>
    <col min="9748" max="9748" width="10" style="1" bestFit="1" customWidth="1"/>
    <col min="9749" max="9984" width="9" style="1"/>
    <col min="9985" max="9985" width="1.5" style="1" customWidth="1"/>
    <col min="9986" max="9986" width="2.125" style="1" customWidth="1"/>
    <col min="9987" max="9987" width="2.5" style="1" customWidth="1"/>
    <col min="9988" max="9988" width="1.625" style="1" customWidth="1"/>
    <col min="9989" max="9989" width="6.625" style="1" customWidth="1"/>
    <col min="9990" max="9990" width="7.625" style="1" customWidth="1"/>
    <col min="9991" max="9991" width="1.75" style="1" customWidth="1"/>
    <col min="9992" max="9992" width="12.25" style="1" customWidth="1"/>
    <col min="9993" max="9994" width="1.5" style="1" customWidth="1"/>
    <col min="9995" max="9995" width="12.25" style="1" customWidth="1"/>
    <col min="9996" max="9996" width="1.5" style="1" customWidth="1"/>
    <col min="9997" max="9997" width="13.25" style="1" customWidth="1"/>
    <col min="9998" max="10000" width="12.25" style="1" customWidth="1"/>
    <col min="10001" max="10001" width="10.25" style="1" bestFit="1" customWidth="1"/>
    <col min="10002" max="10002" width="9.25" style="1" bestFit="1" customWidth="1"/>
    <col min="10003" max="10003" width="10.5" style="1" bestFit="1" customWidth="1"/>
    <col min="10004" max="10004" width="10" style="1" bestFit="1" customWidth="1"/>
    <col min="10005" max="10240" width="9" style="1"/>
    <col min="10241" max="10241" width="1.5" style="1" customWidth="1"/>
    <col min="10242" max="10242" width="2.125" style="1" customWidth="1"/>
    <col min="10243" max="10243" width="2.5" style="1" customWidth="1"/>
    <col min="10244" max="10244" width="1.625" style="1" customWidth="1"/>
    <col min="10245" max="10245" width="6.625" style="1" customWidth="1"/>
    <col min="10246" max="10246" width="7.625" style="1" customWidth="1"/>
    <col min="10247" max="10247" width="1.75" style="1" customWidth="1"/>
    <col min="10248" max="10248" width="12.25" style="1" customWidth="1"/>
    <col min="10249" max="10250" width="1.5" style="1" customWidth="1"/>
    <col min="10251" max="10251" width="12.25" style="1" customWidth="1"/>
    <col min="10252" max="10252" width="1.5" style="1" customWidth="1"/>
    <col min="10253" max="10253" width="13.25" style="1" customWidth="1"/>
    <col min="10254" max="10256" width="12.25" style="1" customWidth="1"/>
    <col min="10257" max="10257" width="10.25" style="1" bestFit="1" customWidth="1"/>
    <col min="10258" max="10258" width="9.25" style="1" bestFit="1" customWidth="1"/>
    <col min="10259" max="10259" width="10.5" style="1" bestFit="1" customWidth="1"/>
    <col min="10260" max="10260" width="10" style="1" bestFit="1" customWidth="1"/>
    <col min="10261" max="10496" width="9" style="1"/>
    <col min="10497" max="10497" width="1.5" style="1" customWidth="1"/>
    <col min="10498" max="10498" width="2.125" style="1" customWidth="1"/>
    <col min="10499" max="10499" width="2.5" style="1" customWidth="1"/>
    <col min="10500" max="10500" width="1.625" style="1" customWidth="1"/>
    <col min="10501" max="10501" width="6.625" style="1" customWidth="1"/>
    <col min="10502" max="10502" width="7.625" style="1" customWidth="1"/>
    <col min="10503" max="10503" width="1.75" style="1" customWidth="1"/>
    <col min="10504" max="10504" width="12.25" style="1" customWidth="1"/>
    <col min="10505" max="10506" width="1.5" style="1" customWidth="1"/>
    <col min="10507" max="10507" width="12.25" style="1" customWidth="1"/>
    <col min="10508" max="10508" width="1.5" style="1" customWidth="1"/>
    <col min="10509" max="10509" width="13.25" style="1" customWidth="1"/>
    <col min="10510" max="10512" width="12.25" style="1" customWidth="1"/>
    <col min="10513" max="10513" width="10.25" style="1" bestFit="1" customWidth="1"/>
    <col min="10514" max="10514" width="9.25" style="1" bestFit="1" customWidth="1"/>
    <col min="10515" max="10515" width="10.5" style="1" bestFit="1" customWidth="1"/>
    <col min="10516" max="10516" width="10" style="1" bestFit="1" customWidth="1"/>
    <col min="10517" max="10752" width="9" style="1"/>
    <col min="10753" max="10753" width="1.5" style="1" customWidth="1"/>
    <col min="10754" max="10754" width="2.125" style="1" customWidth="1"/>
    <col min="10755" max="10755" width="2.5" style="1" customWidth="1"/>
    <col min="10756" max="10756" width="1.625" style="1" customWidth="1"/>
    <col min="10757" max="10757" width="6.625" style="1" customWidth="1"/>
    <col min="10758" max="10758" width="7.625" style="1" customWidth="1"/>
    <col min="10759" max="10759" width="1.75" style="1" customWidth="1"/>
    <col min="10760" max="10760" width="12.25" style="1" customWidth="1"/>
    <col min="10761" max="10762" width="1.5" style="1" customWidth="1"/>
    <col min="10763" max="10763" width="12.25" style="1" customWidth="1"/>
    <col min="10764" max="10764" width="1.5" style="1" customWidth="1"/>
    <col min="10765" max="10765" width="13.25" style="1" customWidth="1"/>
    <col min="10766" max="10768" width="12.25" style="1" customWidth="1"/>
    <col min="10769" max="10769" width="10.25" style="1" bestFit="1" customWidth="1"/>
    <col min="10770" max="10770" width="9.25" style="1" bestFit="1" customWidth="1"/>
    <col min="10771" max="10771" width="10.5" style="1" bestFit="1" customWidth="1"/>
    <col min="10772" max="10772" width="10" style="1" bestFit="1" customWidth="1"/>
    <col min="10773" max="11008" width="9" style="1"/>
    <col min="11009" max="11009" width="1.5" style="1" customWidth="1"/>
    <col min="11010" max="11010" width="2.125" style="1" customWidth="1"/>
    <col min="11011" max="11011" width="2.5" style="1" customWidth="1"/>
    <col min="11012" max="11012" width="1.625" style="1" customWidth="1"/>
    <col min="11013" max="11013" width="6.625" style="1" customWidth="1"/>
    <col min="11014" max="11014" width="7.625" style="1" customWidth="1"/>
    <col min="11015" max="11015" width="1.75" style="1" customWidth="1"/>
    <col min="11016" max="11016" width="12.25" style="1" customWidth="1"/>
    <col min="11017" max="11018" width="1.5" style="1" customWidth="1"/>
    <col min="11019" max="11019" width="12.25" style="1" customWidth="1"/>
    <col min="11020" max="11020" width="1.5" style="1" customWidth="1"/>
    <col min="11021" max="11021" width="13.25" style="1" customWidth="1"/>
    <col min="11022" max="11024" width="12.25" style="1" customWidth="1"/>
    <col min="11025" max="11025" width="10.25" style="1" bestFit="1" customWidth="1"/>
    <col min="11026" max="11026" width="9.25" style="1" bestFit="1" customWidth="1"/>
    <col min="11027" max="11027" width="10.5" style="1" bestFit="1" customWidth="1"/>
    <col min="11028" max="11028" width="10" style="1" bestFit="1" customWidth="1"/>
    <col min="11029" max="11264" width="9" style="1"/>
    <col min="11265" max="11265" width="1.5" style="1" customWidth="1"/>
    <col min="11266" max="11266" width="2.125" style="1" customWidth="1"/>
    <col min="11267" max="11267" width="2.5" style="1" customWidth="1"/>
    <col min="11268" max="11268" width="1.625" style="1" customWidth="1"/>
    <col min="11269" max="11269" width="6.625" style="1" customWidth="1"/>
    <col min="11270" max="11270" width="7.625" style="1" customWidth="1"/>
    <col min="11271" max="11271" width="1.75" style="1" customWidth="1"/>
    <col min="11272" max="11272" width="12.25" style="1" customWidth="1"/>
    <col min="11273" max="11274" width="1.5" style="1" customWidth="1"/>
    <col min="11275" max="11275" width="12.25" style="1" customWidth="1"/>
    <col min="11276" max="11276" width="1.5" style="1" customWidth="1"/>
    <col min="11277" max="11277" width="13.25" style="1" customWidth="1"/>
    <col min="11278" max="11280" width="12.25" style="1" customWidth="1"/>
    <col min="11281" max="11281" width="10.25" style="1" bestFit="1" customWidth="1"/>
    <col min="11282" max="11282" width="9.25" style="1" bestFit="1" customWidth="1"/>
    <col min="11283" max="11283" width="10.5" style="1" bestFit="1" customWidth="1"/>
    <col min="11284" max="11284" width="10" style="1" bestFit="1" customWidth="1"/>
    <col min="11285" max="11520" width="9" style="1"/>
    <col min="11521" max="11521" width="1.5" style="1" customWidth="1"/>
    <col min="11522" max="11522" width="2.125" style="1" customWidth="1"/>
    <col min="11523" max="11523" width="2.5" style="1" customWidth="1"/>
    <col min="11524" max="11524" width="1.625" style="1" customWidth="1"/>
    <col min="11525" max="11525" width="6.625" style="1" customWidth="1"/>
    <col min="11526" max="11526" width="7.625" style="1" customWidth="1"/>
    <col min="11527" max="11527" width="1.75" style="1" customWidth="1"/>
    <col min="11528" max="11528" width="12.25" style="1" customWidth="1"/>
    <col min="11529" max="11530" width="1.5" style="1" customWidth="1"/>
    <col min="11531" max="11531" width="12.25" style="1" customWidth="1"/>
    <col min="11532" max="11532" width="1.5" style="1" customWidth="1"/>
    <col min="11533" max="11533" width="13.25" style="1" customWidth="1"/>
    <col min="11534" max="11536" width="12.25" style="1" customWidth="1"/>
    <col min="11537" max="11537" width="10.25" style="1" bestFit="1" customWidth="1"/>
    <col min="11538" max="11538" width="9.25" style="1" bestFit="1" customWidth="1"/>
    <col min="11539" max="11539" width="10.5" style="1" bestFit="1" customWidth="1"/>
    <col min="11540" max="11540" width="10" style="1" bestFit="1" customWidth="1"/>
    <col min="11541" max="11776" width="9" style="1"/>
    <col min="11777" max="11777" width="1.5" style="1" customWidth="1"/>
    <col min="11778" max="11778" width="2.125" style="1" customWidth="1"/>
    <col min="11779" max="11779" width="2.5" style="1" customWidth="1"/>
    <col min="11780" max="11780" width="1.625" style="1" customWidth="1"/>
    <col min="11781" max="11781" width="6.625" style="1" customWidth="1"/>
    <col min="11782" max="11782" width="7.625" style="1" customWidth="1"/>
    <col min="11783" max="11783" width="1.75" style="1" customWidth="1"/>
    <col min="11784" max="11784" width="12.25" style="1" customWidth="1"/>
    <col min="11785" max="11786" width="1.5" style="1" customWidth="1"/>
    <col min="11787" max="11787" width="12.25" style="1" customWidth="1"/>
    <col min="11788" max="11788" width="1.5" style="1" customWidth="1"/>
    <col min="11789" max="11789" width="13.25" style="1" customWidth="1"/>
    <col min="11790" max="11792" width="12.25" style="1" customWidth="1"/>
    <col min="11793" max="11793" width="10.25" style="1" bestFit="1" customWidth="1"/>
    <col min="11794" max="11794" width="9.25" style="1" bestFit="1" customWidth="1"/>
    <col min="11795" max="11795" width="10.5" style="1" bestFit="1" customWidth="1"/>
    <col min="11796" max="11796" width="10" style="1" bestFit="1" customWidth="1"/>
    <col min="11797" max="12032" width="9" style="1"/>
    <col min="12033" max="12033" width="1.5" style="1" customWidth="1"/>
    <col min="12034" max="12034" width="2.125" style="1" customWidth="1"/>
    <col min="12035" max="12035" width="2.5" style="1" customWidth="1"/>
    <col min="12036" max="12036" width="1.625" style="1" customWidth="1"/>
    <col min="12037" max="12037" width="6.625" style="1" customWidth="1"/>
    <col min="12038" max="12038" width="7.625" style="1" customWidth="1"/>
    <col min="12039" max="12039" width="1.75" style="1" customWidth="1"/>
    <col min="12040" max="12040" width="12.25" style="1" customWidth="1"/>
    <col min="12041" max="12042" width="1.5" style="1" customWidth="1"/>
    <col min="12043" max="12043" width="12.25" style="1" customWidth="1"/>
    <col min="12044" max="12044" width="1.5" style="1" customWidth="1"/>
    <col min="12045" max="12045" width="13.25" style="1" customWidth="1"/>
    <col min="12046" max="12048" width="12.25" style="1" customWidth="1"/>
    <col min="12049" max="12049" width="10.25" style="1" bestFit="1" customWidth="1"/>
    <col min="12050" max="12050" width="9.25" style="1" bestFit="1" customWidth="1"/>
    <col min="12051" max="12051" width="10.5" style="1" bestFit="1" customWidth="1"/>
    <col min="12052" max="12052" width="10" style="1" bestFit="1" customWidth="1"/>
    <col min="12053" max="12288" width="9" style="1"/>
    <col min="12289" max="12289" width="1.5" style="1" customWidth="1"/>
    <col min="12290" max="12290" width="2.125" style="1" customWidth="1"/>
    <col min="12291" max="12291" width="2.5" style="1" customWidth="1"/>
    <col min="12292" max="12292" width="1.625" style="1" customWidth="1"/>
    <col min="12293" max="12293" width="6.625" style="1" customWidth="1"/>
    <col min="12294" max="12294" width="7.625" style="1" customWidth="1"/>
    <col min="12295" max="12295" width="1.75" style="1" customWidth="1"/>
    <col min="12296" max="12296" width="12.25" style="1" customWidth="1"/>
    <col min="12297" max="12298" width="1.5" style="1" customWidth="1"/>
    <col min="12299" max="12299" width="12.25" style="1" customWidth="1"/>
    <col min="12300" max="12300" width="1.5" style="1" customWidth="1"/>
    <col min="12301" max="12301" width="13.25" style="1" customWidth="1"/>
    <col min="12302" max="12304" width="12.25" style="1" customWidth="1"/>
    <col min="12305" max="12305" width="10.25" style="1" bestFit="1" customWidth="1"/>
    <col min="12306" max="12306" width="9.25" style="1" bestFit="1" customWidth="1"/>
    <col min="12307" max="12307" width="10.5" style="1" bestFit="1" customWidth="1"/>
    <col min="12308" max="12308" width="10" style="1" bestFit="1" customWidth="1"/>
    <col min="12309" max="12544" width="9" style="1"/>
    <col min="12545" max="12545" width="1.5" style="1" customWidth="1"/>
    <col min="12546" max="12546" width="2.125" style="1" customWidth="1"/>
    <col min="12547" max="12547" width="2.5" style="1" customWidth="1"/>
    <col min="12548" max="12548" width="1.625" style="1" customWidth="1"/>
    <col min="12549" max="12549" width="6.625" style="1" customWidth="1"/>
    <col min="12550" max="12550" width="7.625" style="1" customWidth="1"/>
    <col min="12551" max="12551" width="1.75" style="1" customWidth="1"/>
    <col min="12552" max="12552" width="12.25" style="1" customWidth="1"/>
    <col min="12553" max="12554" width="1.5" style="1" customWidth="1"/>
    <col min="12555" max="12555" width="12.25" style="1" customWidth="1"/>
    <col min="12556" max="12556" width="1.5" style="1" customWidth="1"/>
    <col min="12557" max="12557" width="13.25" style="1" customWidth="1"/>
    <col min="12558" max="12560" width="12.25" style="1" customWidth="1"/>
    <col min="12561" max="12561" width="10.25" style="1" bestFit="1" customWidth="1"/>
    <col min="12562" max="12562" width="9.25" style="1" bestFit="1" customWidth="1"/>
    <col min="12563" max="12563" width="10.5" style="1" bestFit="1" customWidth="1"/>
    <col min="12564" max="12564" width="10" style="1" bestFit="1" customWidth="1"/>
    <col min="12565" max="12800" width="9" style="1"/>
    <col min="12801" max="12801" width="1.5" style="1" customWidth="1"/>
    <col min="12802" max="12802" width="2.125" style="1" customWidth="1"/>
    <col min="12803" max="12803" width="2.5" style="1" customWidth="1"/>
    <col min="12804" max="12804" width="1.625" style="1" customWidth="1"/>
    <col min="12805" max="12805" width="6.625" style="1" customWidth="1"/>
    <col min="12806" max="12806" width="7.625" style="1" customWidth="1"/>
    <col min="12807" max="12807" width="1.75" style="1" customWidth="1"/>
    <col min="12808" max="12808" width="12.25" style="1" customWidth="1"/>
    <col min="12809" max="12810" width="1.5" style="1" customWidth="1"/>
    <col min="12811" max="12811" width="12.25" style="1" customWidth="1"/>
    <col min="12812" max="12812" width="1.5" style="1" customWidth="1"/>
    <col min="12813" max="12813" width="13.25" style="1" customWidth="1"/>
    <col min="12814" max="12816" width="12.25" style="1" customWidth="1"/>
    <col min="12817" max="12817" width="10.25" style="1" bestFit="1" customWidth="1"/>
    <col min="12818" max="12818" width="9.25" style="1" bestFit="1" customWidth="1"/>
    <col min="12819" max="12819" width="10.5" style="1" bestFit="1" customWidth="1"/>
    <col min="12820" max="12820" width="10" style="1" bestFit="1" customWidth="1"/>
    <col min="12821" max="13056" width="9" style="1"/>
    <col min="13057" max="13057" width="1.5" style="1" customWidth="1"/>
    <col min="13058" max="13058" width="2.125" style="1" customWidth="1"/>
    <col min="13059" max="13059" width="2.5" style="1" customWidth="1"/>
    <col min="13060" max="13060" width="1.625" style="1" customWidth="1"/>
    <col min="13061" max="13061" width="6.625" style="1" customWidth="1"/>
    <col min="13062" max="13062" width="7.625" style="1" customWidth="1"/>
    <col min="13063" max="13063" width="1.75" style="1" customWidth="1"/>
    <col min="13064" max="13064" width="12.25" style="1" customWidth="1"/>
    <col min="13065" max="13066" width="1.5" style="1" customWidth="1"/>
    <col min="13067" max="13067" width="12.25" style="1" customWidth="1"/>
    <col min="13068" max="13068" width="1.5" style="1" customWidth="1"/>
    <col min="13069" max="13069" width="13.25" style="1" customWidth="1"/>
    <col min="13070" max="13072" width="12.25" style="1" customWidth="1"/>
    <col min="13073" max="13073" width="10.25" style="1" bestFit="1" customWidth="1"/>
    <col min="13074" max="13074" width="9.25" style="1" bestFit="1" customWidth="1"/>
    <col min="13075" max="13075" width="10.5" style="1" bestFit="1" customWidth="1"/>
    <col min="13076" max="13076" width="10" style="1" bestFit="1" customWidth="1"/>
    <col min="13077" max="13312" width="9" style="1"/>
    <col min="13313" max="13313" width="1.5" style="1" customWidth="1"/>
    <col min="13314" max="13314" width="2.125" style="1" customWidth="1"/>
    <col min="13315" max="13315" width="2.5" style="1" customWidth="1"/>
    <col min="13316" max="13316" width="1.625" style="1" customWidth="1"/>
    <col min="13317" max="13317" width="6.625" style="1" customWidth="1"/>
    <col min="13318" max="13318" width="7.625" style="1" customWidth="1"/>
    <col min="13319" max="13319" width="1.75" style="1" customWidth="1"/>
    <col min="13320" max="13320" width="12.25" style="1" customWidth="1"/>
    <col min="13321" max="13322" width="1.5" style="1" customWidth="1"/>
    <col min="13323" max="13323" width="12.25" style="1" customWidth="1"/>
    <col min="13324" max="13324" width="1.5" style="1" customWidth="1"/>
    <col min="13325" max="13325" width="13.25" style="1" customWidth="1"/>
    <col min="13326" max="13328" width="12.25" style="1" customWidth="1"/>
    <col min="13329" max="13329" width="10.25" style="1" bestFit="1" customWidth="1"/>
    <col min="13330" max="13330" width="9.25" style="1" bestFit="1" customWidth="1"/>
    <col min="13331" max="13331" width="10.5" style="1" bestFit="1" customWidth="1"/>
    <col min="13332" max="13332" width="10" style="1" bestFit="1" customWidth="1"/>
    <col min="13333" max="13568" width="9" style="1"/>
    <col min="13569" max="13569" width="1.5" style="1" customWidth="1"/>
    <col min="13570" max="13570" width="2.125" style="1" customWidth="1"/>
    <col min="13571" max="13571" width="2.5" style="1" customWidth="1"/>
    <col min="13572" max="13572" width="1.625" style="1" customWidth="1"/>
    <col min="13573" max="13573" width="6.625" style="1" customWidth="1"/>
    <col min="13574" max="13574" width="7.625" style="1" customWidth="1"/>
    <col min="13575" max="13575" width="1.75" style="1" customWidth="1"/>
    <col min="13576" max="13576" width="12.25" style="1" customWidth="1"/>
    <col min="13577" max="13578" width="1.5" style="1" customWidth="1"/>
    <col min="13579" max="13579" width="12.25" style="1" customWidth="1"/>
    <col min="13580" max="13580" width="1.5" style="1" customWidth="1"/>
    <col min="13581" max="13581" width="13.25" style="1" customWidth="1"/>
    <col min="13582" max="13584" width="12.25" style="1" customWidth="1"/>
    <col min="13585" max="13585" width="10.25" style="1" bestFit="1" customWidth="1"/>
    <col min="13586" max="13586" width="9.25" style="1" bestFit="1" customWidth="1"/>
    <col min="13587" max="13587" width="10.5" style="1" bestFit="1" customWidth="1"/>
    <col min="13588" max="13588" width="10" style="1" bestFit="1" customWidth="1"/>
    <col min="13589" max="13824" width="9" style="1"/>
    <col min="13825" max="13825" width="1.5" style="1" customWidth="1"/>
    <col min="13826" max="13826" width="2.125" style="1" customWidth="1"/>
    <col min="13827" max="13827" width="2.5" style="1" customWidth="1"/>
    <col min="13828" max="13828" width="1.625" style="1" customWidth="1"/>
    <col min="13829" max="13829" width="6.625" style="1" customWidth="1"/>
    <col min="13830" max="13830" width="7.625" style="1" customWidth="1"/>
    <col min="13831" max="13831" width="1.75" style="1" customWidth="1"/>
    <col min="13832" max="13832" width="12.25" style="1" customWidth="1"/>
    <col min="13833" max="13834" width="1.5" style="1" customWidth="1"/>
    <col min="13835" max="13835" width="12.25" style="1" customWidth="1"/>
    <col min="13836" max="13836" width="1.5" style="1" customWidth="1"/>
    <col min="13837" max="13837" width="13.25" style="1" customWidth="1"/>
    <col min="13838" max="13840" width="12.25" style="1" customWidth="1"/>
    <col min="13841" max="13841" width="10.25" style="1" bestFit="1" customWidth="1"/>
    <col min="13842" max="13842" width="9.25" style="1" bestFit="1" customWidth="1"/>
    <col min="13843" max="13843" width="10.5" style="1" bestFit="1" customWidth="1"/>
    <col min="13844" max="13844" width="10" style="1" bestFit="1" customWidth="1"/>
    <col min="13845" max="14080" width="9" style="1"/>
    <col min="14081" max="14081" width="1.5" style="1" customWidth="1"/>
    <col min="14082" max="14082" width="2.125" style="1" customWidth="1"/>
    <col min="14083" max="14083" width="2.5" style="1" customWidth="1"/>
    <col min="14084" max="14084" width="1.625" style="1" customWidth="1"/>
    <col min="14085" max="14085" width="6.625" style="1" customWidth="1"/>
    <col min="14086" max="14086" width="7.625" style="1" customWidth="1"/>
    <col min="14087" max="14087" width="1.75" style="1" customWidth="1"/>
    <col min="14088" max="14088" width="12.25" style="1" customWidth="1"/>
    <col min="14089" max="14090" width="1.5" style="1" customWidth="1"/>
    <col min="14091" max="14091" width="12.25" style="1" customWidth="1"/>
    <col min="14092" max="14092" width="1.5" style="1" customWidth="1"/>
    <col min="14093" max="14093" width="13.25" style="1" customWidth="1"/>
    <col min="14094" max="14096" width="12.25" style="1" customWidth="1"/>
    <col min="14097" max="14097" width="10.25" style="1" bestFit="1" customWidth="1"/>
    <col min="14098" max="14098" width="9.25" style="1" bestFit="1" customWidth="1"/>
    <col min="14099" max="14099" width="10.5" style="1" bestFit="1" customWidth="1"/>
    <col min="14100" max="14100" width="10" style="1" bestFit="1" customWidth="1"/>
    <col min="14101" max="14336" width="9" style="1"/>
    <col min="14337" max="14337" width="1.5" style="1" customWidth="1"/>
    <col min="14338" max="14338" width="2.125" style="1" customWidth="1"/>
    <col min="14339" max="14339" width="2.5" style="1" customWidth="1"/>
    <col min="14340" max="14340" width="1.625" style="1" customWidth="1"/>
    <col min="14341" max="14341" width="6.625" style="1" customWidth="1"/>
    <col min="14342" max="14342" width="7.625" style="1" customWidth="1"/>
    <col min="14343" max="14343" width="1.75" style="1" customWidth="1"/>
    <col min="14344" max="14344" width="12.25" style="1" customWidth="1"/>
    <col min="14345" max="14346" width="1.5" style="1" customWidth="1"/>
    <col min="14347" max="14347" width="12.25" style="1" customWidth="1"/>
    <col min="14348" max="14348" width="1.5" style="1" customWidth="1"/>
    <col min="14349" max="14349" width="13.25" style="1" customWidth="1"/>
    <col min="14350" max="14352" width="12.25" style="1" customWidth="1"/>
    <col min="14353" max="14353" width="10.25" style="1" bestFit="1" customWidth="1"/>
    <col min="14354" max="14354" width="9.25" style="1" bestFit="1" customWidth="1"/>
    <col min="14355" max="14355" width="10.5" style="1" bestFit="1" customWidth="1"/>
    <col min="14356" max="14356" width="10" style="1" bestFit="1" customWidth="1"/>
    <col min="14357" max="14592" width="9" style="1"/>
    <col min="14593" max="14593" width="1.5" style="1" customWidth="1"/>
    <col min="14594" max="14594" width="2.125" style="1" customWidth="1"/>
    <col min="14595" max="14595" width="2.5" style="1" customWidth="1"/>
    <col min="14596" max="14596" width="1.625" style="1" customWidth="1"/>
    <col min="14597" max="14597" width="6.625" style="1" customWidth="1"/>
    <col min="14598" max="14598" width="7.625" style="1" customWidth="1"/>
    <col min="14599" max="14599" width="1.75" style="1" customWidth="1"/>
    <col min="14600" max="14600" width="12.25" style="1" customWidth="1"/>
    <col min="14601" max="14602" width="1.5" style="1" customWidth="1"/>
    <col min="14603" max="14603" width="12.25" style="1" customWidth="1"/>
    <col min="14604" max="14604" width="1.5" style="1" customWidth="1"/>
    <col min="14605" max="14605" width="13.25" style="1" customWidth="1"/>
    <col min="14606" max="14608" width="12.25" style="1" customWidth="1"/>
    <col min="14609" max="14609" width="10.25" style="1" bestFit="1" customWidth="1"/>
    <col min="14610" max="14610" width="9.25" style="1" bestFit="1" customWidth="1"/>
    <col min="14611" max="14611" width="10.5" style="1" bestFit="1" customWidth="1"/>
    <col min="14612" max="14612" width="10" style="1" bestFit="1" customWidth="1"/>
    <col min="14613" max="14848" width="9" style="1"/>
    <col min="14849" max="14849" width="1.5" style="1" customWidth="1"/>
    <col min="14850" max="14850" width="2.125" style="1" customWidth="1"/>
    <col min="14851" max="14851" width="2.5" style="1" customWidth="1"/>
    <col min="14852" max="14852" width="1.625" style="1" customWidth="1"/>
    <col min="14853" max="14853" width="6.625" style="1" customWidth="1"/>
    <col min="14854" max="14854" width="7.625" style="1" customWidth="1"/>
    <col min="14855" max="14855" width="1.75" style="1" customWidth="1"/>
    <col min="14856" max="14856" width="12.25" style="1" customWidth="1"/>
    <col min="14857" max="14858" width="1.5" style="1" customWidth="1"/>
    <col min="14859" max="14859" width="12.25" style="1" customWidth="1"/>
    <col min="14860" max="14860" width="1.5" style="1" customWidth="1"/>
    <col min="14861" max="14861" width="13.25" style="1" customWidth="1"/>
    <col min="14862" max="14864" width="12.25" style="1" customWidth="1"/>
    <col min="14865" max="14865" width="10.25" style="1" bestFit="1" customWidth="1"/>
    <col min="14866" max="14866" width="9.25" style="1" bestFit="1" customWidth="1"/>
    <col min="14867" max="14867" width="10.5" style="1" bestFit="1" customWidth="1"/>
    <col min="14868" max="14868" width="10" style="1" bestFit="1" customWidth="1"/>
    <col min="14869" max="15104" width="9" style="1"/>
    <col min="15105" max="15105" width="1.5" style="1" customWidth="1"/>
    <col min="15106" max="15106" width="2.125" style="1" customWidth="1"/>
    <col min="15107" max="15107" width="2.5" style="1" customWidth="1"/>
    <col min="15108" max="15108" width="1.625" style="1" customWidth="1"/>
    <col min="15109" max="15109" width="6.625" style="1" customWidth="1"/>
    <col min="15110" max="15110" width="7.625" style="1" customWidth="1"/>
    <col min="15111" max="15111" width="1.75" style="1" customWidth="1"/>
    <col min="15112" max="15112" width="12.25" style="1" customWidth="1"/>
    <col min="15113" max="15114" width="1.5" style="1" customWidth="1"/>
    <col min="15115" max="15115" width="12.25" style="1" customWidth="1"/>
    <col min="15116" max="15116" width="1.5" style="1" customWidth="1"/>
    <col min="15117" max="15117" width="13.25" style="1" customWidth="1"/>
    <col min="15118" max="15120" width="12.25" style="1" customWidth="1"/>
    <col min="15121" max="15121" width="10.25" style="1" bestFit="1" customWidth="1"/>
    <col min="15122" max="15122" width="9.25" style="1" bestFit="1" customWidth="1"/>
    <col min="15123" max="15123" width="10.5" style="1" bestFit="1" customWidth="1"/>
    <col min="15124" max="15124" width="10" style="1" bestFit="1" customWidth="1"/>
    <col min="15125" max="15360" width="9" style="1"/>
    <col min="15361" max="15361" width="1.5" style="1" customWidth="1"/>
    <col min="15362" max="15362" width="2.125" style="1" customWidth="1"/>
    <col min="15363" max="15363" width="2.5" style="1" customWidth="1"/>
    <col min="15364" max="15364" width="1.625" style="1" customWidth="1"/>
    <col min="15365" max="15365" width="6.625" style="1" customWidth="1"/>
    <col min="15366" max="15366" width="7.625" style="1" customWidth="1"/>
    <col min="15367" max="15367" width="1.75" style="1" customWidth="1"/>
    <col min="15368" max="15368" width="12.25" style="1" customWidth="1"/>
    <col min="15369" max="15370" width="1.5" style="1" customWidth="1"/>
    <col min="15371" max="15371" width="12.25" style="1" customWidth="1"/>
    <col min="15372" max="15372" width="1.5" style="1" customWidth="1"/>
    <col min="15373" max="15373" width="13.25" style="1" customWidth="1"/>
    <col min="15374" max="15376" width="12.25" style="1" customWidth="1"/>
    <col min="15377" max="15377" width="10.25" style="1" bestFit="1" customWidth="1"/>
    <col min="15378" max="15378" width="9.25" style="1" bestFit="1" customWidth="1"/>
    <col min="15379" max="15379" width="10.5" style="1" bestFit="1" customWidth="1"/>
    <col min="15380" max="15380" width="10" style="1" bestFit="1" customWidth="1"/>
    <col min="15381" max="15616" width="9" style="1"/>
    <col min="15617" max="15617" width="1.5" style="1" customWidth="1"/>
    <col min="15618" max="15618" width="2.125" style="1" customWidth="1"/>
    <col min="15619" max="15619" width="2.5" style="1" customWidth="1"/>
    <col min="15620" max="15620" width="1.625" style="1" customWidth="1"/>
    <col min="15621" max="15621" width="6.625" style="1" customWidth="1"/>
    <col min="15622" max="15622" width="7.625" style="1" customWidth="1"/>
    <col min="15623" max="15623" width="1.75" style="1" customWidth="1"/>
    <col min="15624" max="15624" width="12.25" style="1" customWidth="1"/>
    <col min="15625" max="15626" width="1.5" style="1" customWidth="1"/>
    <col min="15627" max="15627" width="12.25" style="1" customWidth="1"/>
    <col min="15628" max="15628" width="1.5" style="1" customWidth="1"/>
    <col min="15629" max="15629" width="13.25" style="1" customWidth="1"/>
    <col min="15630" max="15632" width="12.25" style="1" customWidth="1"/>
    <col min="15633" max="15633" width="10.25" style="1" bestFit="1" customWidth="1"/>
    <col min="15634" max="15634" width="9.25" style="1" bestFit="1" customWidth="1"/>
    <col min="15635" max="15635" width="10.5" style="1" bestFit="1" customWidth="1"/>
    <col min="15636" max="15636" width="10" style="1" bestFit="1" customWidth="1"/>
    <col min="15637" max="15872" width="9" style="1"/>
    <col min="15873" max="15873" width="1.5" style="1" customWidth="1"/>
    <col min="15874" max="15874" width="2.125" style="1" customWidth="1"/>
    <col min="15875" max="15875" width="2.5" style="1" customWidth="1"/>
    <col min="15876" max="15876" width="1.625" style="1" customWidth="1"/>
    <col min="15877" max="15877" width="6.625" style="1" customWidth="1"/>
    <col min="15878" max="15878" width="7.625" style="1" customWidth="1"/>
    <col min="15879" max="15879" width="1.75" style="1" customWidth="1"/>
    <col min="15880" max="15880" width="12.25" style="1" customWidth="1"/>
    <col min="15881" max="15882" width="1.5" style="1" customWidth="1"/>
    <col min="15883" max="15883" width="12.25" style="1" customWidth="1"/>
    <col min="15884" max="15884" width="1.5" style="1" customWidth="1"/>
    <col min="15885" max="15885" width="13.25" style="1" customWidth="1"/>
    <col min="15886" max="15888" width="12.25" style="1" customWidth="1"/>
    <col min="15889" max="15889" width="10.25" style="1" bestFit="1" customWidth="1"/>
    <col min="15890" max="15890" width="9.25" style="1" bestFit="1" customWidth="1"/>
    <col min="15891" max="15891" width="10.5" style="1" bestFit="1" customWidth="1"/>
    <col min="15892" max="15892" width="10" style="1" bestFit="1" customWidth="1"/>
    <col min="15893" max="16128" width="9" style="1"/>
    <col min="16129" max="16129" width="1.5" style="1" customWidth="1"/>
    <col min="16130" max="16130" width="2.125" style="1" customWidth="1"/>
    <col min="16131" max="16131" width="2.5" style="1" customWidth="1"/>
    <col min="16132" max="16132" width="1.625" style="1" customWidth="1"/>
    <col min="16133" max="16133" width="6.625" style="1" customWidth="1"/>
    <col min="16134" max="16134" width="7.625" style="1" customWidth="1"/>
    <col min="16135" max="16135" width="1.75" style="1" customWidth="1"/>
    <col min="16136" max="16136" width="12.25" style="1" customWidth="1"/>
    <col min="16137" max="16138" width="1.5" style="1" customWidth="1"/>
    <col min="16139" max="16139" width="12.25" style="1" customWidth="1"/>
    <col min="16140" max="16140" width="1.5" style="1" customWidth="1"/>
    <col min="16141" max="16141" width="13.25" style="1" customWidth="1"/>
    <col min="16142" max="16144" width="12.25" style="1" customWidth="1"/>
    <col min="16145" max="16145" width="10.25" style="1" bestFit="1" customWidth="1"/>
    <col min="16146" max="16146" width="9.25" style="1" bestFit="1" customWidth="1"/>
    <col min="16147" max="16147" width="10.5" style="1" bestFit="1" customWidth="1"/>
    <col min="16148" max="16148" width="10" style="1" bestFit="1" customWidth="1"/>
    <col min="16149" max="16384" width="9" style="1"/>
  </cols>
  <sheetData>
    <row r="1" spans="1:20" ht="27.75" customHeight="1" x14ac:dyDescent="0.15">
      <c r="A1" s="346" t="s">
        <v>182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</row>
    <row r="2" spans="1:20" ht="18" customHeight="1" x14ac:dyDescent="0.15">
      <c r="A2" s="347" t="s">
        <v>181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</row>
    <row r="3" spans="1:20" ht="15" customHeight="1" thickBot="1" x14ac:dyDescent="0.2">
      <c r="A3" s="348"/>
      <c r="B3" s="349"/>
      <c r="C3" s="349"/>
      <c r="D3" s="349"/>
      <c r="E3" s="349"/>
      <c r="F3" s="349"/>
      <c r="G3" s="349"/>
      <c r="H3" s="1"/>
      <c r="I3" s="1"/>
      <c r="J3" s="1"/>
      <c r="K3" s="1"/>
      <c r="L3" s="1"/>
      <c r="M3" s="6"/>
      <c r="N3" s="6"/>
      <c r="O3" s="6"/>
      <c r="P3" s="7" t="s">
        <v>0</v>
      </c>
      <c r="Q3" s="7"/>
    </row>
    <row r="4" spans="1:20" ht="14.25" customHeight="1" x14ac:dyDescent="0.15">
      <c r="A4" s="350" t="s">
        <v>1</v>
      </c>
      <c r="B4" s="351"/>
      <c r="C4" s="351"/>
      <c r="D4" s="351"/>
      <c r="E4" s="351"/>
      <c r="F4" s="352"/>
      <c r="G4" s="356" t="s">
        <v>2</v>
      </c>
      <c r="H4" s="351"/>
      <c r="I4" s="352"/>
      <c r="J4" s="356" t="s">
        <v>3</v>
      </c>
      <c r="K4" s="351"/>
      <c r="L4" s="351"/>
      <c r="M4" s="379" t="s">
        <v>4</v>
      </c>
      <c r="N4" s="361" t="s">
        <v>5</v>
      </c>
      <c r="O4" s="361"/>
      <c r="P4" s="362" t="s">
        <v>6</v>
      </c>
    </row>
    <row r="5" spans="1:20" ht="14.25" customHeight="1" thickBot="1" x14ac:dyDescent="0.2">
      <c r="A5" s="353"/>
      <c r="B5" s="354"/>
      <c r="C5" s="354"/>
      <c r="D5" s="354"/>
      <c r="E5" s="354"/>
      <c r="F5" s="355"/>
      <c r="G5" s="357"/>
      <c r="H5" s="354"/>
      <c r="I5" s="355"/>
      <c r="J5" s="357"/>
      <c r="K5" s="354"/>
      <c r="L5" s="354"/>
      <c r="M5" s="380"/>
      <c r="N5" s="14" t="s">
        <v>13</v>
      </c>
      <c r="O5" s="14" t="s">
        <v>14</v>
      </c>
      <c r="P5" s="363"/>
      <c r="Q5" s="147"/>
      <c r="R5" s="147"/>
      <c r="S5" s="147"/>
      <c r="T5" s="147"/>
    </row>
    <row r="6" spans="1:20" ht="18" customHeight="1" x14ac:dyDescent="0.15">
      <c r="A6" s="381" t="s">
        <v>15</v>
      </c>
      <c r="B6" s="382"/>
      <c r="C6" s="382"/>
      <c r="D6" s="382"/>
      <c r="E6" s="382"/>
      <c r="F6" s="383"/>
      <c r="G6" s="15"/>
      <c r="H6" s="16"/>
      <c r="I6" s="17"/>
      <c r="J6" s="15"/>
      <c r="K6" s="16"/>
      <c r="L6" s="17"/>
      <c r="M6" s="148"/>
      <c r="N6" s="22"/>
      <c r="O6" s="22"/>
      <c r="P6" s="23"/>
    </row>
    <row r="7" spans="1:20" ht="18" customHeight="1" x14ac:dyDescent="0.15">
      <c r="A7" s="149"/>
      <c r="B7" s="40" t="s">
        <v>16</v>
      </c>
      <c r="C7" s="150"/>
      <c r="D7" s="151"/>
      <c r="F7" s="40"/>
      <c r="G7" s="29"/>
      <c r="H7" s="30"/>
      <c r="I7" s="31"/>
      <c r="J7" s="29"/>
      <c r="K7" s="30"/>
      <c r="L7" s="31"/>
      <c r="M7" s="152"/>
      <c r="N7" s="36"/>
      <c r="O7" s="36"/>
      <c r="P7" s="37"/>
    </row>
    <row r="8" spans="1:20" ht="18" customHeight="1" x14ac:dyDescent="0.15">
      <c r="A8" s="149"/>
      <c r="B8" s="40" t="s">
        <v>17</v>
      </c>
      <c r="C8" s="153"/>
      <c r="D8" s="151"/>
      <c r="E8" s="40"/>
      <c r="F8" s="40"/>
      <c r="G8" s="29"/>
      <c r="H8" s="30"/>
      <c r="I8" s="31"/>
      <c r="J8" s="29"/>
      <c r="K8" s="30"/>
      <c r="L8" s="31"/>
      <c r="M8" s="152"/>
      <c r="N8" s="36"/>
      <c r="O8" s="36"/>
      <c r="P8" s="37"/>
    </row>
    <row r="9" spans="1:20" ht="18" customHeight="1" x14ac:dyDescent="0.15">
      <c r="A9" s="39"/>
      <c r="B9" s="40" t="s">
        <v>18</v>
      </c>
      <c r="C9" s="41"/>
      <c r="D9" s="42"/>
      <c r="E9" s="43"/>
      <c r="F9" s="40"/>
      <c r="G9" s="29" t="s">
        <v>19</v>
      </c>
      <c r="H9" s="30">
        <f>H10</f>
        <v>1000</v>
      </c>
      <c r="I9" s="31" t="s">
        <v>20</v>
      </c>
      <c r="J9" s="29" t="s">
        <v>21</v>
      </c>
      <c r="K9" s="44">
        <f>K10</f>
        <v>1000</v>
      </c>
      <c r="L9" s="31" t="s">
        <v>22</v>
      </c>
      <c r="M9" s="154"/>
      <c r="N9" s="46"/>
      <c r="O9" s="46"/>
      <c r="P9" s="47"/>
    </row>
    <row r="10" spans="1:20" ht="18" customHeight="1" x14ac:dyDescent="0.15">
      <c r="A10" s="39"/>
      <c r="B10" s="48"/>
      <c r="C10" s="40" t="s">
        <v>23</v>
      </c>
      <c r="D10" s="42"/>
      <c r="E10" s="40"/>
      <c r="G10" s="49"/>
      <c r="H10" s="44">
        <v>1000</v>
      </c>
      <c r="I10" s="50"/>
      <c r="J10" s="49"/>
      <c r="K10" s="30">
        <f>M10+N10+O10+P10</f>
        <v>1000</v>
      </c>
      <c r="L10" s="50"/>
      <c r="M10" s="154">
        <v>1000</v>
      </c>
      <c r="N10" s="46"/>
      <c r="O10" s="46"/>
      <c r="P10" s="47"/>
    </row>
    <row r="11" spans="1:20" ht="18" customHeight="1" x14ac:dyDescent="0.15">
      <c r="A11" s="39"/>
      <c r="B11" s="40" t="s">
        <v>24</v>
      </c>
      <c r="C11" s="48"/>
      <c r="D11" s="42"/>
      <c r="F11" s="40"/>
      <c r="G11" s="29" t="s">
        <v>19</v>
      </c>
      <c r="H11" s="30">
        <f>H12</f>
        <v>1000</v>
      </c>
      <c r="I11" s="31" t="s">
        <v>20</v>
      </c>
      <c r="J11" s="29" t="s">
        <v>21</v>
      </c>
      <c r="K11" s="30">
        <f>K12</f>
        <v>1000</v>
      </c>
      <c r="L11" s="31" t="s">
        <v>22</v>
      </c>
      <c r="M11" s="154"/>
      <c r="N11" s="46"/>
      <c r="O11" s="46"/>
      <c r="P11" s="47"/>
    </row>
    <row r="12" spans="1:20" ht="18" customHeight="1" x14ac:dyDescent="0.15">
      <c r="A12" s="54"/>
      <c r="B12" s="55"/>
      <c r="C12" s="56" t="s">
        <v>79</v>
      </c>
      <c r="D12" s="57"/>
      <c r="E12" s="56"/>
      <c r="G12" s="29"/>
      <c r="H12" s="30">
        <v>1000</v>
      </c>
      <c r="I12" s="31"/>
      <c r="J12" s="29"/>
      <c r="K12" s="30">
        <f>M12+N12+O12+P12</f>
        <v>1000</v>
      </c>
      <c r="L12" s="31"/>
      <c r="M12" s="154"/>
      <c r="N12" s="46"/>
      <c r="O12" s="46"/>
      <c r="P12" s="47">
        <v>1000</v>
      </c>
    </row>
    <row r="13" spans="1:20" ht="18" customHeight="1" x14ac:dyDescent="0.15">
      <c r="A13" s="39"/>
      <c r="B13" s="40" t="s">
        <v>25</v>
      </c>
      <c r="C13" s="40"/>
      <c r="D13" s="42"/>
      <c r="E13" s="40"/>
      <c r="F13" s="40"/>
      <c r="G13" s="29" t="s">
        <v>19</v>
      </c>
      <c r="H13" s="30">
        <f>H14</f>
        <v>39000000</v>
      </c>
      <c r="I13" s="31" t="s">
        <v>20</v>
      </c>
      <c r="J13" s="29" t="s">
        <v>21</v>
      </c>
      <c r="K13" s="30">
        <f>K14</f>
        <v>38000000</v>
      </c>
      <c r="L13" s="31" t="s">
        <v>22</v>
      </c>
      <c r="M13" s="154"/>
      <c r="N13" s="46"/>
      <c r="O13" s="46"/>
      <c r="P13" s="47"/>
    </row>
    <row r="14" spans="1:20" ht="18" customHeight="1" x14ac:dyDescent="0.15">
      <c r="A14" s="39"/>
      <c r="B14" s="40"/>
      <c r="C14" s="40" t="s">
        <v>26</v>
      </c>
      <c r="D14" s="42"/>
      <c r="E14" s="40"/>
      <c r="F14" s="40"/>
      <c r="G14" s="29"/>
      <c r="H14" s="30">
        <v>39000000</v>
      </c>
      <c r="I14" s="31"/>
      <c r="J14" s="29"/>
      <c r="K14" s="223">
        <v>38000000</v>
      </c>
      <c r="L14" s="31"/>
      <c r="M14" s="154">
        <v>19000000</v>
      </c>
      <c r="N14" s="46"/>
      <c r="O14" s="46">
        <v>11400000</v>
      </c>
      <c r="P14" s="47">
        <v>7600000</v>
      </c>
      <c r="Q14" s="155"/>
      <c r="R14" s="155">
        <f>SUM(M14:P14)</f>
        <v>38000000</v>
      </c>
      <c r="S14" s="155"/>
      <c r="T14" s="155"/>
    </row>
    <row r="15" spans="1:20" ht="18" customHeight="1" x14ac:dyDescent="0.15">
      <c r="A15" s="39"/>
      <c r="B15" s="40" t="s">
        <v>27</v>
      </c>
      <c r="C15" s="40"/>
      <c r="D15" s="42"/>
      <c r="E15" s="40"/>
      <c r="F15" s="40"/>
      <c r="G15" s="29" t="s">
        <v>19</v>
      </c>
      <c r="H15" s="30">
        <f>SUM(H16:H20)</f>
        <v>16869180</v>
      </c>
      <c r="I15" s="31" t="s">
        <v>20</v>
      </c>
      <c r="J15" s="29" t="s">
        <v>21</v>
      </c>
      <c r="K15" s="223">
        <f>SUM(K16:K20)</f>
        <v>18304800</v>
      </c>
      <c r="L15" s="31" t="s">
        <v>22</v>
      </c>
      <c r="M15" s="154"/>
      <c r="N15" s="46"/>
      <c r="O15" s="46"/>
      <c r="P15" s="47"/>
      <c r="R15" s="155">
        <f t="shared" ref="R15:R35" si="0">SUM(M15:P15)</f>
        <v>0</v>
      </c>
    </row>
    <row r="16" spans="1:20" ht="18" customHeight="1" x14ac:dyDescent="0.15">
      <c r="A16" s="58"/>
      <c r="B16" s="40"/>
      <c r="C16" s="40" t="s">
        <v>28</v>
      </c>
      <c r="D16" s="42"/>
      <c r="E16" s="40"/>
      <c r="F16" s="40"/>
      <c r="G16" s="29"/>
      <c r="H16" s="30">
        <v>1202000</v>
      </c>
      <c r="I16" s="31"/>
      <c r="J16" s="29"/>
      <c r="K16" s="223">
        <v>2426000</v>
      </c>
      <c r="L16" s="31"/>
      <c r="M16" s="154">
        <v>2426000</v>
      </c>
      <c r="N16" s="46"/>
      <c r="O16" s="46"/>
      <c r="P16" s="47"/>
      <c r="Q16" s="155"/>
      <c r="R16" s="155">
        <f t="shared" si="0"/>
        <v>2426000</v>
      </c>
      <c r="S16" s="155"/>
      <c r="T16" s="155"/>
    </row>
    <row r="17" spans="1:20" ht="18" customHeight="1" x14ac:dyDescent="0.15">
      <c r="A17" s="39"/>
      <c r="B17" s="48"/>
      <c r="C17" s="40" t="s">
        <v>29</v>
      </c>
      <c r="D17" s="42"/>
      <c r="E17" s="40"/>
      <c r="F17" s="40"/>
      <c r="G17" s="29"/>
      <c r="H17" s="30">
        <v>210000</v>
      </c>
      <c r="I17" s="31"/>
      <c r="J17" s="29"/>
      <c r="K17" s="223">
        <f t="shared" ref="K17" si="1">M17+N17+O17+P17</f>
        <v>210000</v>
      </c>
      <c r="L17" s="31"/>
      <c r="M17" s="154">
        <v>210000</v>
      </c>
      <c r="N17" s="46"/>
      <c r="O17" s="46"/>
      <c r="P17" s="47"/>
      <c r="Q17" s="155"/>
      <c r="R17" s="155">
        <f t="shared" si="0"/>
        <v>210000</v>
      </c>
      <c r="S17" s="155"/>
      <c r="T17" s="155"/>
    </row>
    <row r="18" spans="1:20" ht="18" customHeight="1" x14ac:dyDescent="0.15">
      <c r="A18" s="39"/>
      <c r="B18" s="48"/>
      <c r="C18" s="40" t="s">
        <v>30</v>
      </c>
      <c r="D18" s="42"/>
      <c r="E18" s="40"/>
      <c r="F18" s="40"/>
      <c r="G18" s="29"/>
      <c r="H18" s="30">
        <v>3114500</v>
      </c>
      <c r="I18" s="31"/>
      <c r="J18" s="29"/>
      <c r="K18" s="223">
        <v>4019000</v>
      </c>
      <c r="L18" s="31"/>
      <c r="M18" s="154">
        <v>4019000</v>
      </c>
      <c r="N18" s="46"/>
      <c r="O18" s="46"/>
      <c r="P18" s="47"/>
      <c r="Q18" s="155"/>
      <c r="R18" s="155">
        <f t="shared" si="0"/>
        <v>4019000</v>
      </c>
      <c r="S18" s="155"/>
      <c r="T18" s="155"/>
    </row>
    <row r="19" spans="1:20" ht="18" customHeight="1" x14ac:dyDescent="0.15">
      <c r="A19" s="39"/>
      <c r="B19" s="48"/>
      <c r="C19" s="40" t="s">
        <v>31</v>
      </c>
      <c r="D19" s="42"/>
      <c r="E19" s="40"/>
      <c r="F19" s="40"/>
      <c r="G19" s="29"/>
      <c r="H19" s="30">
        <v>1650000</v>
      </c>
      <c r="I19" s="31"/>
      <c r="J19" s="29"/>
      <c r="K19" s="223">
        <v>1650000</v>
      </c>
      <c r="L19" s="31"/>
      <c r="M19" s="154"/>
      <c r="N19" s="46">
        <v>1650000</v>
      </c>
      <c r="O19" s="46"/>
      <c r="P19" s="59"/>
      <c r="Q19" s="155"/>
      <c r="R19" s="155">
        <f t="shared" si="0"/>
        <v>1650000</v>
      </c>
      <c r="S19" s="155"/>
      <c r="T19" s="155"/>
    </row>
    <row r="20" spans="1:20" ht="18" customHeight="1" x14ac:dyDescent="0.15">
      <c r="A20" s="39"/>
      <c r="B20" s="40"/>
      <c r="C20" s="40" t="s">
        <v>32</v>
      </c>
      <c r="D20" s="40"/>
      <c r="E20" s="40"/>
      <c r="F20" s="40"/>
      <c r="G20" s="29"/>
      <c r="H20" s="30">
        <v>10692680</v>
      </c>
      <c r="I20" s="31"/>
      <c r="J20" s="29"/>
      <c r="K20" s="223">
        <v>9999800</v>
      </c>
      <c r="L20" s="31"/>
      <c r="M20" s="154">
        <v>9999800</v>
      </c>
      <c r="N20" s="46"/>
      <c r="O20" s="46"/>
      <c r="P20" s="59"/>
      <c r="Q20" s="155"/>
      <c r="R20" s="155">
        <f t="shared" si="0"/>
        <v>9999800</v>
      </c>
      <c r="S20" s="155"/>
      <c r="T20" s="155"/>
    </row>
    <row r="21" spans="1:20" ht="18" customHeight="1" x14ac:dyDescent="0.15">
      <c r="A21" s="39"/>
      <c r="B21" s="40" t="s">
        <v>33</v>
      </c>
      <c r="C21" s="40"/>
      <c r="D21" s="40"/>
      <c r="E21" s="40"/>
      <c r="F21" s="40"/>
      <c r="G21" s="29" t="s">
        <v>19</v>
      </c>
      <c r="H21" s="30">
        <f>SUM(H22:H25)</f>
        <v>16920900</v>
      </c>
      <c r="I21" s="31" t="s">
        <v>20</v>
      </c>
      <c r="J21" s="29" t="s">
        <v>21</v>
      </c>
      <c r="K21" s="30">
        <f>SUM(K22:K26)</f>
        <v>16854600</v>
      </c>
      <c r="L21" s="31" t="s">
        <v>22</v>
      </c>
      <c r="M21" s="154"/>
      <c r="N21" s="46"/>
      <c r="O21" s="46"/>
      <c r="P21" s="59"/>
      <c r="Q21" s="155"/>
      <c r="R21" s="155">
        <f t="shared" si="0"/>
        <v>0</v>
      </c>
      <c r="S21" s="155"/>
      <c r="T21" s="155"/>
    </row>
    <row r="22" spans="1:20" ht="18" customHeight="1" x14ac:dyDescent="0.15">
      <c r="A22" s="39"/>
      <c r="B22" s="40"/>
      <c r="C22" s="40" t="s">
        <v>103</v>
      </c>
      <c r="D22" s="40"/>
      <c r="E22" s="40"/>
      <c r="F22" s="40"/>
      <c r="G22" s="29"/>
      <c r="H22" s="30">
        <v>16120100</v>
      </c>
      <c r="I22" s="31"/>
      <c r="J22" s="29"/>
      <c r="K22" s="30">
        <f t="shared" ref="K22:K24" si="2">M22+N22+O22+P22</f>
        <v>15954600</v>
      </c>
      <c r="L22" s="31"/>
      <c r="M22" s="224">
        <v>15954600</v>
      </c>
      <c r="N22" s="46"/>
      <c r="O22" s="46"/>
      <c r="P22" s="59"/>
      <c r="Q22" s="155"/>
      <c r="R22" s="155">
        <f t="shared" si="0"/>
        <v>15954600</v>
      </c>
      <c r="S22" s="155"/>
      <c r="T22" s="155"/>
    </row>
    <row r="23" spans="1:20" ht="18" customHeight="1" x14ac:dyDescent="0.15">
      <c r="A23" s="39"/>
      <c r="B23" s="40"/>
      <c r="C23" s="40" t="s">
        <v>106</v>
      </c>
      <c r="D23" s="40"/>
      <c r="E23" s="40"/>
      <c r="F23" s="40"/>
      <c r="G23" s="29"/>
      <c r="H23" s="30">
        <v>450800</v>
      </c>
      <c r="I23" s="31"/>
      <c r="J23" s="29"/>
      <c r="K23" s="223">
        <v>450000</v>
      </c>
      <c r="L23" s="31"/>
      <c r="M23" s="154">
        <v>100000</v>
      </c>
      <c r="N23" s="46"/>
      <c r="O23" s="46"/>
      <c r="P23" s="59">
        <v>350000</v>
      </c>
      <c r="Q23" s="155"/>
      <c r="R23" s="155">
        <f t="shared" si="0"/>
        <v>450000</v>
      </c>
      <c r="S23" s="155"/>
      <c r="T23" s="155"/>
    </row>
    <row r="24" spans="1:20" ht="18" customHeight="1" x14ac:dyDescent="0.15">
      <c r="A24" s="39"/>
      <c r="B24" s="40"/>
      <c r="C24" s="372" t="s">
        <v>104</v>
      </c>
      <c r="D24" s="372"/>
      <c r="E24" s="372"/>
      <c r="F24" s="373"/>
      <c r="G24" s="29"/>
      <c r="H24" s="30">
        <v>150000</v>
      </c>
      <c r="I24" s="31"/>
      <c r="J24" s="29"/>
      <c r="K24" s="30">
        <f t="shared" si="2"/>
        <v>150000</v>
      </c>
      <c r="L24" s="31"/>
      <c r="M24" s="154"/>
      <c r="N24" s="46"/>
      <c r="O24" s="46"/>
      <c r="P24" s="59">
        <v>150000</v>
      </c>
      <c r="Q24" s="155"/>
      <c r="R24" s="155">
        <f t="shared" si="0"/>
        <v>150000</v>
      </c>
      <c r="S24" s="155"/>
      <c r="T24" s="155"/>
    </row>
    <row r="25" spans="1:20" ht="18" customHeight="1" x14ac:dyDescent="0.15">
      <c r="A25" s="39"/>
      <c r="B25" s="40"/>
      <c r="C25" s="40" t="s">
        <v>105</v>
      </c>
      <c r="D25" s="40"/>
      <c r="E25" s="40"/>
      <c r="F25" s="40"/>
      <c r="G25" s="29"/>
      <c r="H25" s="30">
        <v>200000</v>
      </c>
      <c r="I25" s="31"/>
      <c r="J25" s="29"/>
      <c r="K25" s="30">
        <f>M25+N25+O25+P25</f>
        <v>200000</v>
      </c>
      <c r="L25" s="31"/>
      <c r="M25" s="154"/>
      <c r="N25" s="46"/>
      <c r="O25" s="30"/>
      <c r="P25" s="59">
        <v>200000</v>
      </c>
      <c r="Q25" s="155"/>
      <c r="R25" s="155">
        <f t="shared" si="0"/>
        <v>200000</v>
      </c>
      <c r="S25" s="155"/>
      <c r="T25" s="155"/>
    </row>
    <row r="26" spans="1:20" ht="18" customHeight="1" x14ac:dyDescent="0.15">
      <c r="A26" s="39"/>
      <c r="B26" s="40"/>
      <c r="C26" s="366" t="s">
        <v>222</v>
      </c>
      <c r="D26" s="367"/>
      <c r="E26" s="367"/>
      <c r="F26" s="368"/>
      <c r="G26" s="29"/>
      <c r="H26" s="30">
        <v>200000</v>
      </c>
      <c r="I26" s="31"/>
      <c r="J26" s="29"/>
      <c r="K26" s="30">
        <v>100000</v>
      </c>
      <c r="L26" s="31"/>
      <c r="M26" s="154">
        <v>100000</v>
      </c>
      <c r="N26" s="46"/>
      <c r="O26" s="30"/>
      <c r="P26" s="59"/>
      <c r="Q26" s="155"/>
      <c r="R26" s="155"/>
      <c r="S26" s="155"/>
      <c r="T26" s="155"/>
    </row>
    <row r="27" spans="1:20" ht="18" customHeight="1" x14ac:dyDescent="0.15">
      <c r="A27" s="39"/>
      <c r="B27" s="40" t="s">
        <v>34</v>
      </c>
      <c r="C27" s="40"/>
      <c r="D27" s="40"/>
      <c r="E27" s="40"/>
      <c r="F27" s="40"/>
      <c r="G27" s="29" t="s">
        <v>19</v>
      </c>
      <c r="H27" s="30">
        <f>SUM(H28:H29)</f>
        <v>1174900</v>
      </c>
      <c r="I27" s="31" t="s">
        <v>20</v>
      </c>
      <c r="J27" s="29" t="s">
        <v>19</v>
      </c>
      <c r="K27" s="30">
        <f>SUM(K28:K29)</f>
        <v>1050400</v>
      </c>
      <c r="L27" s="31" t="s">
        <v>20</v>
      </c>
      <c r="M27" s="154"/>
      <c r="N27" s="46"/>
      <c r="O27" s="46"/>
      <c r="P27" s="59"/>
      <c r="Q27" s="155"/>
      <c r="R27" s="155">
        <f t="shared" si="0"/>
        <v>0</v>
      </c>
      <c r="S27" s="155"/>
      <c r="T27" s="155"/>
    </row>
    <row r="28" spans="1:20" ht="18" customHeight="1" x14ac:dyDescent="0.15">
      <c r="A28" s="39"/>
      <c r="B28" s="40"/>
      <c r="C28" s="40" t="s">
        <v>34</v>
      </c>
      <c r="D28" s="40"/>
      <c r="E28" s="40"/>
      <c r="F28" s="40"/>
      <c r="G28" s="29"/>
      <c r="H28" s="30">
        <v>512500</v>
      </c>
      <c r="I28" s="31"/>
      <c r="J28" s="29"/>
      <c r="K28" s="30">
        <v>310000</v>
      </c>
      <c r="L28" s="31"/>
      <c r="M28" s="154"/>
      <c r="N28" s="46"/>
      <c r="O28" s="46"/>
      <c r="P28" s="59">
        <v>310000</v>
      </c>
      <c r="Q28" s="155"/>
      <c r="R28" s="155">
        <f t="shared" si="0"/>
        <v>310000</v>
      </c>
      <c r="S28" s="155"/>
      <c r="T28" s="155"/>
    </row>
    <row r="29" spans="1:20" ht="18" customHeight="1" x14ac:dyDescent="0.15">
      <c r="A29" s="39"/>
      <c r="B29" s="40"/>
      <c r="C29" s="40" t="s">
        <v>35</v>
      </c>
      <c r="D29" s="40"/>
      <c r="E29" s="40"/>
      <c r="F29" s="40"/>
      <c r="G29" s="29"/>
      <c r="H29" s="30">
        <v>662400</v>
      </c>
      <c r="I29" s="31"/>
      <c r="J29" s="29"/>
      <c r="K29" s="223">
        <v>740400</v>
      </c>
      <c r="L29" s="31"/>
      <c r="M29" s="154"/>
      <c r="N29" s="46"/>
      <c r="O29" s="46">
        <v>740400</v>
      </c>
      <c r="P29" s="59"/>
      <c r="Q29" s="155"/>
      <c r="R29" s="155">
        <f t="shared" si="0"/>
        <v>740400</v>
      </c>
      <c r="S29" s="155"/>
      <c r="T29" s="155"/>
    </row>
    <row r="30" spans="1:20" ht="18" customHeight="1" x14ac:dyDescent="0.15">
      <c r="A30" s="39"/>
      <c r="B30" s="40" t="s">
        <v>107</v>
      </c>
      <c r="C30" s="40"/>
      <c r="D30" s="40"/>
      <c r="E30" s="40"/>
      <c r="F30" s="40"/>
      <c r="G30" s="29" t="s">
        <v>19</v>
      </c>
      <c r="H30" s="30">
        <f>SUM(H31)</f>
        <v>0</v>
      </c>
      <c r="I30" s="31" t="s">
        <v>20</v>
      </c>
      <c r="J30" s="29" t="s">
        <v>19</v>
      </c>
      <c r="K30" s="30">
        <f>SUM(K31)</f>
        <v>0</v>
      </c>
      <c r="L30" s="31" t="s">
        <v>20</v>
      </c>
      <c r="M30" s="154"/>
      <c r="N30" s="46"/>
      <c r="O30" s="46"/>
      <c r="P30" s="59"/>
      <c r="Q30" s="155"/>
      <c r="R30" s="155">
        <f t="shared" si="0"/>
        <v>0</v>
      </c>
      <c r="S30" s="155"/>
      <c r="T30" s="155"/>
    </row>
    <row r="31" spans="1:20" ht="18" customHeight="1" x14ac:dyDescent="0.15">
      <c r="A31" s="39"/>
      <c r="B31" s="40"/>
      <c r="C31" s="40" t="s">
        <v>107</v>
      </c>
      <c r="D31" s="40"/>
      <c r="E31" s="40"/>
      <c r="F31" s="40"/>
      <c r="G31" s="29"/>
      <c r="H31" s="30">
        <v>0</v>
      </c>
      <c r="I31" s="31"/>
      <c r="J31" s="29"/>
      <c r="K31" s="30">
        <f>M31+N31+O31+P31</f>
        <v>0</v>
      </c>
      <c r="L31" s="31"/>
      <c r="M31" s="154"/>
      <c r="N31" s="46"/>
      <c r="O31" s="46"/>
      <c r="P31" s="59"/>
      <c r="Q31" s="155"/>
      <c r="R31" s="155">
        <f t="shared" si="0"/>
        <v>0</v>
      </c>
      <c r="S31" s="155"/>
      <c r="T31" s="155"/>
    </row>
    <row r="32" spans="1:20" ht="18" customHeight="1" x14ac:dyDescent="0.15">
      <c r="A32" s="39"/>
      <c r="B32" s="40" t="s">
        <v>36</v>
      </c>
      <c r="C32" s="60"/>
      <c r="D32" s="40"/>
      <c r="E32" s="40"/>
      <c r="F32" s="40"/>
      <c r="G32" s="29" t="s">
        <v>19</v>
      </c>
      <c r="H32" s="30">
        <f>SUM(H33:H34)</f>
        <v>751000</v>
      </c>
      <c r="I32" s="31" t="s">
        <v>20</v>
      </c>
      <c r="J32" s="29" t="s">
        <v>21</v>
      </c>
      <c r="K32" s="30">
        <f>SUM(K33:K34)</f>
        <v>751000</v>
      </c>
      <c r="L32" s="31" t="s">
        <v>22</v>
      </c>
      <c r="M32" s="154"/>
      <c r="N32" s="46"/>
      <c r="O32" s="46"/>
      <c r="P32" s="59"/>
      <c r="Q32" s="155"/>
      <c r="R32" s="155">
        <f t="shared" si="0"/>
        <v>0</v>
      </c>
      <c r="S32" s="155"/>
      <c r="T32" s="155"/>
    </row>
    <row r="33" spans="1:20" ht="18" customHeight="1" x14ac:dyDescent="0.15">
      <c r="A33" s="39"/>
      <c r="B33" s="40"/>
      <c r="C33" s="40" t="s">
        <v>37</v>
      </c>
      <c r="D33" s="40"/>
      <c r="E33" s="40"/>
      <c r="F33" s="40"/>
      <c r="G33" s="29"/>
      <c r="H33" s="30">
        <v>1000</v>
      </c>
      <c r="I33" s="31"/>
      <c r="J33" s="29"/>
      <c r="K33" s="30">
        <f>M33+N33+O33+P33</f>
        <v>1000</v>
      </c>
      <c r="L33" s="31"/>
      <c r="M33" s="154"/>
      <c r="N33" s="46"/>
      <c r="O33" s="46"/>
      <c r="P33" s="59">
        <v>1000</v>
      </c>
      <c r="Q33" s="155"/>
      <c r="R33" s="155">
        <f t="shared" si="0"/>
        <v>1000</v>
      </c>
      <c r="S33" s="155"/>
      <c r="T33" s="155"/>
    </row>
    <row r="34" spans="1:20" ht="18" customHeight="1" x14ac:dyDescent="0.15">
      <c r="A34" s="39"/>
      <c r="B34" s="40"/>
      <c r="C34" s="40" t="s">
        <v>36</v>
      </c>
      <c r="D34" s="40"/>
      <c r="E34" s="40"/>
      <c r="F34" s="40"/>
      <c r="G34" s="29"/>
      <c r="H34" s="30">
        <v>750000</v>
      </c>
      <c r="I34" s="31"/>
      <c r="J34" s="29"/>
      <c r="K34" s="30">
        <f>M34+N34+O34+P34</f>
        <v>750000</v>
      </c>
      <c r="L34" s="31"/>
      <c r="M34" s="154"/>
      <c r="N34" s="46"/>
      <c r="O34" s="61"/>
      <c r="P34" s="62">
        <v>750000</v>
      </c>
      <c r="Q34" s="155"/>
      <c r="R34" s="155">
        <f t="shared" si="0"/>
        <v>750000</v>
      </c>
      <c r="S34" s="155"/>
      <c r="T34" s="155"/>
    </row>
    <row r="35" spans="1:20" ht="18" customHeight="1" x14ac:dyDescent="0.15">
      <c r="A35" s="63"/>
      <c r="B35" s="64"/>
      <c r="C35" s="65" t="s">
        <v>38</v>
      </c>
      <c r="D35" s="64"/>
      <c r="E35" s="65"/>
      <c r="F35" s="219"/>
      <c r="G35" s="66"/>
      <c r="H35" s="67">
        <f>SUM(H9,H11,H13,H15,H21,H27,H30,H32)</f>
        <v>74717980</v>
      </c>
      <c r="I35" s="68"/>
      <c r="J35" s="66"/>
      <c r="K35" s="67">
        <f>K9+K11+K13+K15+K21+K27+K30+K32</f>
        <v>74962800</v>
      </c>
      <c r="L35" s="68"/>
      <c r="M35" s="156">
        <f>SUM(M9:M34)</f>
        <v>51810400</v>
      </c>
      <c r="N35" s="73">
        <f>SUM(N9:N34)</f>
        <v>1650000</v>
      </c>
      <c r="O35" s="73">
        <f>SUM(O9:O34)</f>
        <v>12140400</v>
      </c>
      <c r="P35" s="74">
        <f>SUM(P9:P34)</f>
        <v>9362000</v>
      </c>
      <c r="Q35" s="155"/>
      <c r="R35" s="155">
        <f t="shared" si="0"/>
        <v>74962800</v>
      </c>
      <c r="S35" s="155"/>
      <c r="T35" s="155"/>
    </row>
    <row r="36" spans="1:20" ht="18" customHeight="1" x14ac:dyDescent="0.15">
      <c r="A36" s="75"/>
      <c r="B36" s="28" t="s">
        <v>39</v>
      </c>
      <c r="C36" s="76"/>
      <c r="D36" s="76"/>
      <c r="G36" s="49"/>
      <c r="H36" s="44"/>
      <c r="I36" s="50"/>
      <c r="J36" s="49"/>
      <c r="K36" s="44"/>
      <c r="L36" s="50"/>
      <c r="M36" s="157"/>
      <c r="N36" s="78"/>
      <c r="O36" s="78"/>
      <c r="P36" s="79"/>
      <c r="Q36" s="155"/>
      <c r="R36" s="155"/>
      <c r="S36" s="155"/>
      <c r="T36" s="155"/>
    </row>
    <row r="37" spans="1:20" ht="18" customHeight="1" x14ac:dyDescent="0.15">
      <c r="A37" s="58"/>
      <c r="B37" s="40" t="s">
        <v>40</v>
      </c>
      <c r="C37" s="40"/>
      <c r="D37" s="42"/>
      <c r="E37" s="40"/>
      <c r="F37" s="40"/>
      <c r="G37" s="29" t="s">
        <v>21</v>
      </c>
      <c r="H37" s="30">
        <f>SUM(H38+H51+H60+H73+H75)</f>
        <v>38026080</v>
      </c>
      <c r="I37" s="31" t="s">
        <v>20</v>
      </c>
      <c r="J37" s="29" t="s">
        <v>21</v>
      </c>
      <c r="K37" s="30">
        <f>SUM(K38+K51+K60+K73+K75)</f>
        <v>44949650</v>
      </c>
      <c r="L37" s="31" t="s">
        <v>22</v>
      </c>
      <c r="M37" s="154"/>
      <c r="N37" s="46"/>
      <c r="O37" s="46"/>
      <c r="P37" s="47"/>
      <c r="Q37" s="155"/>
      <c r="R37" s="155"/>
      <c r="S37" s="155"/>
      <c r="T37" s="155"/>
    </row>
    <row r="38" spans="1:20" ht="18" customHeight="1" x14ac:dyDescent="0.15">
      <c r="A38" s="58"/>
      <c r="B38" s="366" t="s">
        <v>41</v>
      </c>
      <c r="C38" s="367"/>
      <c r="D38" s="367"/>
      <c r="E38" s="367"/>
      <c r="F38" s="368"/>
      <c r="G38" s="29" t="s">
        <v>171</v>
      </c>
      <c r="H38" s="30">
        <f>SUM(H39:H50)</f>
        <v>11480650</v>
      </c>
      <c r="I38" s="31" t="s">
        <v>172</v>
      </c>
      <c r="J38" s="29" t="s">
        <v>171</v>
      </c>
      <c r="K38" s="30">
        <f>SUM(K39:K50)</f>
        <v>15832200</v>
      </c>
      <c r="L38" s="31" t="s">
        <v>172</v>
      </c>
      <c r="M38" s="154"/>
      <c r="N38" s="46"/>
      <c r="O38" s="46"/>
      <c r="P38" s="47"/>
      <c r="Q38" s="155"/>
      <c r="R38" s="155"/>
      <c r="S38" s="155"/>
      <c r="T38" s="155"/>
    </row>
    <row r="39" spans="1:20" ht="18" customHeight="1" x14ac:dyDescent="0.15">
      <c r="A39" s="58"/>
      <c r="B39" s="40"/>
      <c r="C39" s="40" t="s">
        <v>147</v>
      </c>
      <c r="D39" s="42"/>
      <c r="E39" s="40"/>
      <c r="F39" s="40"/>
      <c r="G39" s="29"/>
      <c r="H39" s="30">
        <v>0</v>
      </c>
      <c r="I39" s="31"/>
      <c r="J39" s="29"/>
      <c r="K39" s="30">
        <f>M39+N39+O39+P39</f>
        <v>236000</v>
      </c>
      <c r="L39" s="31"/>
      <c r="M39" s="254">
        <v>236000</v>
      </c>
      <c r="N39" s="46"/>
      <c r="O39" s="46"/>
      <c r="P39" s="47"/>
      <c r="Q39" s="155"/>
      <c r="R39" s="155">
        <f t="shared" ref="R39:R103" si="3">SUM(M39:P39)</f>
        <v>236000</v>
      </c>
      <c r="S39" s="155"/>
      <c r="T39" s="155"/>
    </row>
    <row r="40" spans="1:20" ht="18" customHeight="1" x14ac:dyDescent="0.15">
      <c r="A40" s="58"/>
      <c r="B40" s="40"/>
      <c r="C40" s="40" t="s">
        <v>148</v>
      </c>
      <c r="D40" s="42"/>
      <c r="E40" s="40"/>
      <c r="F40" s="40"/>
      <c r="G40" s="29"/>
      <c r="H40" s="30">
        <v>407000</v>
      </c>
      <c r="I40" s="31"/>
      <c r="J40" s="29"/>
      <c r="K40" s="30">
        <f t="shared" ref="K40:K50" si="4">M40+N40+O40+P40</f>
        <v>597000</v>
      </c>
      <c r="L40" s="272"/>
      <c r="M40" s="32">
        <v>597000</v>
      </c>
      <c r="N40" s="46"/>
      <c r="O40" s="46"/>
      <c r="P40" s="47"/>
      <c r="Q40" s="155"/>
      <c r="R40" s="155">
        <f t="shared" si="3"/>
        <v>597000</v>
      </c>
      <c r="S40" s="155"/>
      <c r="T40" s="155"/>
    </row>
    <row r="41" spans="1:20" ht="18" customHeight="1" x14ac:dyDescent="0.15">
      <c r="A41" s="58"/>
      <c r="B41" s="40"/>
      <c r="C41" s="40" t="s">
        <v>149</v>
      </c>
      <c r="D41" s="42"/>
      <c r="E41" s="40"/>
      <c r="F41" s="40"/>
      <c r="G41" s="29"/>
      <c r="H41" s="30">
        <v>2419600</v>
      </c>
      <c r="I41" s="31"/>
      <c r="J41" s="29"/>
      <c r="K41" s="30">
        <f t="shared" si="4"/>
        <v>2839000</v>
      </c>
      <c r="L41" s="272"/>
      <c r="M41" s="32">
        <v>2839000</v>
      </c>
      <c r="N41" s="46"/>
      <c r="O41" s="46"/>
      <c r="P41" s="47"/>
      <c r="Q41" s="155"/>
      <c r="R41" s="155">
        <f t="shared" si="3"/>
        <v>2839000</v>
      </c>
      <c r="S41" s="155"/>
      <c r="T41" s="155"/>
    </row>
    <row r="42" spans="1:20" ht="18" customHeight="1" x14ac:dyDescent="0.15">
      <c r="A42" s="58"/>
      <c r="B42" s="40"/>
      <c r="C42" s="40" t="s">
        <v>150</v>
      </c>
      <c r="D42" s="42"/>
      <c r="E42" s="40"/>
      <c r="F42" s="40"/>
      <c r="G42" s="29"/>
      <c r="H42" s="30">
        <v>1326000</v>
      </c>
      <c r="I42" s="31"/>
      <c r="J42" s="29"/>
      <c r="K42" s="30">
        <f t="shared" si="4"/>
        <v>1331000</v>
      </c>
      <c r="L42" s="272"/>
      <c r="M42" s="32">
        <v>1331000</v>
      </c>
      <c r="N42" s="46"/>
      <c r="O42" s="46"/>
      <c r="P42" s="47"/>
      <c r="Q42" s="155"/>
      <c r="R42" s="155">
        <f t="shared" si="3"/>
        <v>1331000</v>
      </c>
      <c r="S42" s="155"/>
      <c r="T42" s="155"/>
    </row>
    <row r="43" spans="1:20" ht="18" customHeight="1" x14ac:dyDescent="0.15">
      <c r="A43" s="58"/>
      <c r="B43" s="40"/>
      <c r="C43" s="40" t="s">
        <v>151</v>
      </c>
      <c r="D43" s="42"/>
      <c r="E43" s="40"/>
      <c r="F43" s="40"/>
      <c r="G43" s="29"/>
      <c r="H43" s="30">
        <v>3688000</v>
      </c>
      <c r="I43" s="31"/>
      <c r="J43" s="29"/>
      <c r="K43" s="30">
        <f t="shared" si="4"/>
        <v>7178000</v>
      </c>
      <c r="L43" s="272"/>
      <c r="M43" s="32">
        <v>7178000</v>
      </c>
      <c r="N43" s="46"/>
      <c r="O43" s="46"/>
      <c r="P43" s="47"/>
      <c r="Q43" s="155"/>
      <c r="R43" s="155">
        <f t="shared" si="3"/>
        <v>7178000</v>
      </c>
      <c r="S43" s="155"/>
      <c r="T43" s="155"/>
    </row>
    <row r="44" spans="1:20" ht="18" customHeight="1" x14ac:dyDescent="0.15">
      <c r="A44" s="58"/>
      <c r="B44" s="40"/>
      <c r="C44" s="40" t="s">
        <v>152</v>
      </c>
      <c r="D44" s="42"/>
      <c r="E44" s="40"/>
      <c r="F44" s="40"/>
      <c r="G44" s="29"/>
      <c r="H44" s="30">
        <v>330000</v>
      </c>
      <c r="I44" s="31"/>
      <c r="J44" s="29"/>
      <c r="K44" s="30">
        <f t="shared" si="4"/>
        <v>410000</v>
      </c>
      <c r="L44" s="272"/>
      <c r="M44" s="32">
        <v>410000</v>
      </c>
      <c r="N44" s="46"/>
      <c r="O44" s="46"/>
      <c r="P44" s="47"/>
      <c r="Q44" s="155"/>
      <c r="R44" s="155">
        <f t="shared" si="3"/>
        <v>410000</v>
      </c>
      <c r="S44" s="155"/>
      <c r="T44" s="155"/>
    </row>
    <row r="45" spans="1:20" ht="18" customHeight="1" x14ac:dyDescent="0.15">
      <c r="A45" s="58"/>
      <c r="B45" s="40"/>
      <c r="C45" s="40" t="s">
        <v>153</v>
      </c>
      <c r="D45" s="42"/>
      <c r="E45" s="40"/>
      <c r="F45" s="40"/>
      <c r="G45" s="29"/>
      <c r="H45" s="30">
        <v>456000</v>
      </c>
      <c r="I45" s="31"/>
      <c r="J45" s="29"/>
      <c r="K45" s="30">
        <f t="shared" si="4"/>
        <v>456000</v>
      </c>
      <c r="L45" s="272"/>
      <c r="M45" s="32">
        <v>456000</v>
      </c>
      <c r="N45" s="46"/>
      <c r="O45" s="46"/>
      <c r="P45" s="47"/>
      <c r="Q45" s="155"/>
      <c r="R45" s="155">
        <f t="shared" si="3"/>
        <v>456000</v>
      </c>
      <c r="S45" s="155"/>
      <c r="T45" s="155"/>
    </row>
    <row r="46" spans="1:20" ht="18" customHeight="1" x14ac:dyDescent="0.15">
      <c r="A46" s="58"/>
      <c r="B46" s="40"/>
      <c r="C46" s="40" t="s">
        <v>154</v>
      </c>
      <c r="D46" s="42"/>
      <c r="E46" s="40"/>
      <c r="F46" s="40"/>
      <c r="G46" s="29"/>
      <c r="H46" s="30">
        <v>0</v>
      </c>
      <c r="I46" s="31"/>
      <c r="J46" s="29"/>
      <c r="K46" s="30">
        <f t="shared" si="4"/>
        <v>0</v>
      </c>
      <c r="L46" s="272"/>
      <c r="M46" s="32">
        <v>0</v>
      </c>
      <c r="N46" s="46"/>
      <c r="O46" s="46"/>
      <c r="P46" s="47"/>
      <c r="Q46" s="155"/>
      <c r="R46" s="155">
        <f t="shared" si="3"/>
        <v>0</v>
      </c>
      <c r="S46" s="155"/>
      <c r="T46" s="155"/>
    </row>
    <row r="47" spans="1:20" ht="18" customHeight="1" x14ac:dyDescent="0.15">
      <c r="A47" s="58"/>
      <c r="B47" s="40"/>
      <c r="C47" s="40" t="s">
        <v>155</v>
      </c>
      <c r="D47" s="42"/>
      <c r="E47" s="40"/>
      <c r="F47" s="40"/>
      <c r="G47" s="29"/>
      <c r="H47" s="30">
        <v>1907850</v>
      </c>
      <c r="I47" s="31"/>
      <c r="J47" s="29"/>
      <c r="K47" s="30">
        <f t="shared" si="4"/>
        <v>1594000</v>
      </c>
      <c r="L47" s="272"/>
      <c r="M47" s="32">
        <v>1594000</v>
      </c>
      <c r="N47" s="46"/>
      <c r="O47" s="46"/>
      <c r="P47" s="47"/>
      <c r="Q47" s="155"/>
      <c r="R47" s="155">
        <f t="shared" si="3"/>
        <v>1594000</v>
      </c>
      <c r="S47" s="155"/>
      <c r="T47" s="155"/>
    </row>
    <row r="48" spans="1:20" ht="18" customHeight="1" x14ac:dyDescent="0.15">
      <c r="A48" s="58"/>
      <c r="B48" s="40"/>
      <c r="C48" s="40" t="s">
        <v>156</v>
      </c>
      <c r="D48" s="42"/>
      <c r="E48" s="40"/>
      <c r="F48" s="40"/>
      <c r="G48" s="29"/>
      <c r="H48" s="30">
        <v>100000</v>
      </c>
      <c r="I48" s="31"/>
      <c r="J48" s="29"/>
      <c r="K48" s="30">
        <f t="shared" si="4"/>
        <v>100000</v>
      </c>
      <c r="L48" s="272"/>
      <c r="M48" s="32">
        <v>100000</v>
      </c>
      <c r="N48" s="46"/>
      <c r="O48" s="46"/>
      <c r="P48" s="47"/>
      <c r="Q48" s="155"/>
      <c r="R48" s="155">
        <f t="shared" si="3"/>
        <v>100000</v>
      </c>
      <c r="S48" s="155"/>
      <c r="T48" s="155"/>
    </row>
    <row r="49" spans="1:20" ht="18" customHeight="1" x14ac:dyDescent="0.15">
      <c r="A49" s="58"/>
      <c r="B49" s="40"/>
      <c r="C49" s="40" t="s">
        <v>157</v>
      </c>
      <c r="D49" s="42"/>
      <c r="E49" s="40"/>
      <c r="F49" s="40"/>
      <c r="G49" s="29"/>
      <c r="H49" s="30">
        <v>111000</v>
      </c>
      <c r="I49" s="31"/>
      <c r="J49" s="29"/>
      <c r="K49" s="30">
        <f t="shared" si="4"/>
        <v>206000</v>
      </c>
      <c r="L49" s="272"/>
      <c r="M49" s="32">
        <v>206000</v>
      </c>
      <c r="N49" s="46"/>
      <c r="O49" s="46"/>
      <c r="P49" s="47"/>
      <c r="Q49" s="155"/>
      <c r="R49" s="155">
        <f t="shared" si="3"/>
        <v>206000</v>
      </c>
      <c r="S49" s="155"/>
      <c r="T49" s="155"/>
    </row>
    <row r="50" spans="1:20" ht="18" customHeight="1" x14ac:dyDescent="0.15">
      <c r="A50" s="58"/>
      <c r="B50" s="40"/>
      <c r="C50" s="40" t="s">
        <v>158</v>
      </c>
      <c r="D50" s="42"/>
      <c r="E50" s="40"/>
      <c r="F50" s="40"/>
      <c r="G50" s="29"/>
      <c r="H50" s="30">
        <v>735200</v>
      </c>
      <c r="I50" s="31"/>
      <c r="J50" s="29"/>
      <c r="K50" s="30">
        <f t="shared" si="4"/>
        <v>885200</v>
      </c>
      <c r="L50" s="272"/>
      <c r="M50" s="32">
        <v>885200</v>
      </c>
      <c r="N50" s="46"/>
      <c r="O50" s="46"/>
      <c r="P50" s="47"/>
      <c r="Q50" s="155"/>
      <c r="R50" s="155">
        <f t="shared" si="3"/>
        <v>885200</v>
      </c>
      <c r="S50" s="155"/>
      <c r="T50" s="155"/>
    </row>
    <row r="51" spans="1:20" ht="18" customHeight="1" x14ac:dyDescent="0.15">
      <c r="A51" s="58"/>
      <c r="B51" s="366" t="s">
        <v>42</v>
      </c>
      <c r="C51" s="367"/>
      <c r="D51" s="367"/>
      <c r="E51" s="367"/>
      <c r="F51" s="368"/>
      <c r="G51" s="29" t="s">
        <v>171</v>
      </c>
      <c r="H51" s="30">
        <f>SUM(H52:H59)</f>
        <v>2943000</v>
      </c>
      <c r="I51" s="31" t="s">
        <v>172</v>
      </c>
      <c r="J51" s="29" t="s">
        <v>171</v>
      </c>
      <c r="K51" s="30">
        <f>SUM(K52:K59)</f>
        <v>2318550</v>
      </c>
      <c r="L51" s="31" t="s">
        <v>172</v>
      </c>
      <c r="M51" s="154"/>
      <c r="N51" s="46"/>
      <c r="O51" s="46"/>
      <c r="P51" s="47"/>
      <c r="Q51" s="155"/>
      <c r="R51" s="155">
        <f t="shared" si="3"/>
        <v>0</v>
      </c>
      <c r="S51" s="155"/>
      <c r="T51" s="155"/>
    </row>
    <row r="52" spans="1:20" ht="18" customHeight="1" x14ac:dyDescent="0.15">
      <c r="A52" s="58"/>
      <c r="B52" s="40"/>
      <c r="C52" s="377" t="s">
        <v>148</v>
      </c>
      <c r="D52" s="377"/>
      <c r="E52" s="377"/>
      <c r="F52" s="220"/>
      <c r="G52" s="29"/>
      <c r="H52" s="30">
        <v>3000</v>
      </c>
      <c r="I52" s="31"/>
      <c r="J52" s="29"/>
      <c r="K52" s="30">
        <f>M52</f>
        <v>13000</v>
      </c>
      <c r="L52" s="272"/>
      <c r="M52" s="271">
        <v>13000</v>
      </c>
      <c r="N52" s="46"/>
      <c r="O52" s="46"/>
      <c r="P52" s="47"/>
      <c r="Q52" s="155"/>
      <c r="R52" s="155">
        <f t="shared" si="3"/>
        <v>13000</v>
      </c>
      <c r="S52" s="155"/>
      <c r="T52" s="155"/>
    </row>
    <row r="53" spans="1:20" ht="18" customHeight="1" x14ac:dyDescent="0.15">
      <c r="A53" s="58"/>
      <c r="B53" s="40"/>
      <c r="C53" s="40" t="s">
        <v>149</v>
      </c>
      <c r="D53" s="42"/>
      <c r="E53" s="40"/>
      <c r="F53" s="40"/>
      <c r="G53" s="29"/>
      <c r="H53" s="30">
        <v>320000</v>
      </c>
      <c r="I53" s="31"/>
      <c r="J53" s="29"/>
      <c r="K53" s="30">
        <f>M53+N53+O53+P53</f>
        <v>330000</v>
      </c>
      <c r="L53" s="272"/>
      <c r="M53" s="271">
        <v>330000</v>
      </c>
      <c r="N53" s="46"/>
      <c r="O53" s="46"/>
      <c r="P53" s="47"/>
      <c r="Q53" s="155"/>
      <c r="R53" s="155">
        <f t="shared" si="3"/>
        <v>330000</v>
      </c>
      <c r="S53" s="155"/>
      <c r="T53" s="155"/>
    </row>
    <row r="54" spans="1:20" ht="18" customHeight="1" x14ac:dyDescent="0.15">
      <c r="A54" s="58"/>
      <c r="B54" s="40"/>
      <c r="C54" s="40" t="s">
        <v>150</v>
      </c>
      <c r="D54" s="42"/>
      <c r="E54" s="40"/>
      <c r="F54" s="40"/>
      <c r="G54" s="29"/>
      <c r="H54" s="30">
        <v>19000</v>
      </c>
      <c r="I54" s="31"/>
      <c r="J54" s="29"/>
      <c r="K54" s="30">
        <f t="shared" ref="K54:K59" si="5">M54+N54+O54+P54</f>
        <v>24000</v>
      </c>
      <c r="L54" s="272"/>
      <c r="M54" s="271">
        <v>24000</v>
      </c>
      <c r="N54" s="46"/>
      <c r="O54" s="46"/>
      <c r="P54" s="47"/>
      <c r="Q54" s="155"/>
      <c r="R54" s="155">
        <f t="shared" si="3"/>
        <v>24000</v>
      </c>
      <c r="S54" s="155"/>
      <c r="T54" s="155"/>
    </row>
    <row r="55" spans="1:20" ht="18" customHeight="1" x14ac:dyDescent="0.15">
      <c r="A55" s="58"/>
      <c r="B55" s="40"/>
      <c r="C55" s="372" t="s">
        <v>151</v>
      </c>
      <c r="D55" s="372"/>
      <c r="E55" s="372"/>
      <c r="F55" s="40"/>
      <c r="G55" s="29"/>
      <c r="H55" s="30">
        <v>90000</v>
      </c>
      <c r="I55" s="31"/>
      <c r="J55" s="29"/>
      <c r="K55" s="30">
        <f>M55</f>
        <v>90000</v>
      </c>
      <c r="L55" s="272"/>
      <c r="M55" s="271">
        <v>90000</v>
      </c>
      <c r="N55" s="46"/>
      <c r="O55" s="46"/>
      <c r="P55" s="47"/>
      <c r="Q55" s="155"/>
      <c r="R55" s="155">
        <f t="shared" si="3"/>
        <v>90000</v>
      </c>
      <c r="S55" s="155"/>
      <c r="T55" s="155"/>
    </row>
    <row r="56" spans="1:20" ht="18" customHeight="1" x14ac:dyDescent="0.15">
      <c r="A56" s="58"/>
      <c r="B56" s="40"/>
      <c r="C56" s="40" t="s">
        <v>152</v>
      </c>
      <c r="D56" s="42"/>
      <c r="E56" s="40"/>
      <c r="F56" s="40"/>
      <c r="G56" s="29"/>
      <c r="H56" s="30">
        <v>1980000</v>
      </c>
      <c r="I56" s="31"/>
      <c r="J56" s="29"/>
      <c r="K56" s="30">
        <f t="shared" si="5"/>
        <v>1300000</v>
      </c>
      <c r="L56" s="272"/>
      <c r="M56" s="271">
        <v>1300000</v>
      </c>
      <c r="N56" s="46"/>
      <c r="O56" s="46"/>
      <c r="P56" s="47"/>
      <c r="Q56" s="155"/>
      <c r="R56" s="155">
        <f t="shared" si="3"/>
        <v>1300000</v>
      </c>
      <c r="S56" s="155"/>
      <c r="T56" s="155"/>
    </row>
    <row r="57" spans="1:20" ht="18" customHeight="1" x14ac:dyDescent="0.15">
      <c r="A57" s="58"/>
      <c r="B57" s="40"/>
      <c r="C57" s="40" t="s">
        <v>155</v>
      </c>
      <c r="D57" s="42"/>
      <c r="E57" s="40"/>
      <c r="F57" s="40"/>
      <c r="G57" s="29"/>
      <c r="H57" s="30">
        <v>240000</v>
      </c>
      <c r="I57" s="31"/>
      <c r="J57" s="29"/>
      <c r="K57" s="30">
        <f t="shared" si="5"/>
        <v>260000</v>
      </c>
      <c r="L57" s="272"/>
      <c r="M57" s="271">
        <v>260000</v>
      </c>
      <c r="N57" s="46"/>
      <c r="O57" s="46"/>
      <c r="P57" s="47"/>
      <c r="Q57" s="155"/>
      <c r="R57" s="155">
        <f t="shared" si="3"/>
        <v>260000</v>
      </c>
      <c r="S57" s="155"/>
      <c r="T57" s="155"/>
    </row>
    <row r="58" spans="1:20" ht="18" customHeight="1" x14ac:dyDescent="0.15">
      <c r="A58" s="58"/>
      <c r="B58" s="40"/>
      <c r="C58" s="40" t="s">
        <v>156</v>
      </c>
      <c r="D58" s="42"/>
      <c r="E58" s="40"/>
      <c r="F58" s="40"/>
      <c r="G58" s="29"/>
      <c r="H58" s="30">
        <v>10000</v>
      </c>
      <c r="I58" s="31"/>
      <c r="J58" s="29"/>
      <c r="K58" s="30">
        <f t="shared" si="5"/>
        <v>10000</v>
      </c>
      <c r="L58" s="272"/>
      <c r="M58" s="271">
        <v>10000</v>
      </c>
      <c r="N58" s="46"/>
      <c r="O58" s="46"/>
      <c r="P58" s="47"/>
      <c r="Q58" s="155"/>
      <c r="R58" s="155">
        <f t="shared" si="3"/>
        <v>10000</v>
      </c>
      <c r="S58" s="155"/>
      <c r="T58" s="155"/>
    </row>
    <row r="59" spans="1:20" ht="18" customHeight="1" x14ac:dyDescent="0.15">
      <c r="A59" s="58"/>
      <c r="B59" s="40"/>
      <c r="C59" s="40" t="s">
        <v>158</v>
      </c>
      <c r="D59" s="42"/>
      <c r="E59" s="40"/>
      <c r="F59" s="40"/>
      <c r="G59" s="29"/>
      <c r="H59" s="30">
        <v>281000</v>
      </c>
      <c r="I59" s="31"/>
      <c r="J59" s="29"/>
      <c r="K59" s="30">
        <f t="shared" si="5"/>
        <v>291550</v>
      </c>
      <c r="L59" s="272"/>
      <c r="M59" s="271">
        <v>291550</v>
      </c>
      <c r="N59" s="46"/>
      <c r="O59" s="46"/>
      <c r="P59" s="47"/>
      <c r="Q59" s="155"/>
      <c r="R59" s="155">
        <f t="shared" si="3"/>
        <v>291550</v>
      </c>
      <c r="S59" s="155"/>
      <c r="T59" s="155"/>
    </row>
    <row r="60" spans="1:20" ht="18" customHeight="1" x14ac:dyDescent="0.15">
      <c r="A60" s="58"/>
      <c r="B60" s="366" t="s">
        <v>43</v>
      </c>
      <c r="C60" s="367"/>
      <c r="D60" s="367"/>
      <c r="E60" s="367"/>
      <c r="F60" s="368"/>
      <c r="G60" s="29" t="s">
        <v>171</v>
      </c>
      <c r="H60" s="30">
        <f>SUM(H61:H72)</f>
        <v>5718600</v>
      </c>
      <c r="I60" s="31" t="s">
        <v>172</v>
      </c>
      <c r="J60" s="29" t="s">
        <v>171</v>
      </c>
      <c r="K60" s="30">
        <f>SUM(K61:K72)</f>
        <v>7725000</v>
      </c>
      <c r="L60" s="31" t="s">
        <v>172</v>
      </c>
      <c r="M60" s="154"/>
      <c r="N60" s="46"/>
      <c r="O60" s="46"/>
      <c r="P60" s="47"/>
      <c r="Q60" s="155"/>
      <c r="R60" s="155">
        <f t="shared" si="3"/>
        <v>0</v>
      </c>
      <c r="S60" s="155"/>
      <c r="T60" s="155"/>
    </row>
    <row r="61" spans="1:20" ht="18" customHeight="1" x14ac:dyDescent="0.15">
      <c r="A61" s="58"/>
      <c r="B61" s="40"/>
      <c r="C61" s="40" t="s">
        <v>147</v>
      </c>
      <c r="D61" s="42"/>
      <c r="E61" s="40"/>
      <c r="F61" s="40"/>
      <c r="G61" s="29"/>
      <c r="H61" s="30">
        <v>156500</v>
      </c>
      <c r="I61" s="31"/>
      <c r="J61" s="29"/>
      <c r="K61" s="30">
        <f>M61+N61+O61+P61</f>
        <v>150000</v>
      </c>
      <c r="L61" s="272"/>
      <c r="M61" s="271">
        <v>150000</v>
      </c>
      <c r="N61" s="46"/>
      <c r="O61" s="46"/>
      <c r="P61" s="47"/>
      <c r="Q61" s="155"/>
      <c r="R61" s="155">
        <f t="shared" si="3"/>
        <v>150000</v>
      </c>
      <c r="S61" s="155"/>
      <c r="T61" s="155"/>
    </row>
    <row r="62" spans="1:20" ht="18" customHeight="1" x14ac:dyDescent="0.15">
      <c r="A62" s="58"/>
      <c r="B62" s="40"/>
      <c r="C62" s="40" t="s">
        <v>148</v>
      </c>
      <c r="D62" s="42"/>
      <c r="E62" s="40"/>
      <c r="F62" s="40"/>
      <c r="G62" s="29"/>
      <c r="H62" s="30">
        <v>5000</v>
      </c>
      <c r="I62" s="31"/>
      <c r="J62" s="29"/>
      <c r="K62" s="30">
        <f t="shared" ref="K62:K72" si="6">M62+N62+O62+P62</f>
        <v>70000</v>
      </c>
      <c r="L62" s="272"/>
      <c r="M62" s="271">
        <v>70000</v>
      </c>
      <c r="N62" s="46"/>
      <c r="O62" s="46"/>
      <c r="P62" s="47"/>
      <c r="Q62" s="155"/>
      <c r="R62" s="155">
        <f t="shared" si="3"/>
        <v>70000</v>
      </c>
      <c r="S62" s="155"/>
      <c r="T62" s="155"/>
    </row>
    <row r="63" spans="1:20" ht="18" customHeight="1" x14ac:dyDescent="0.15">
      <c r="A63" s="58"/>
      <c r="B63" s="40"/>
      <c r="C63" s="40" t="s">
        <v>149</v>
      </c>
      <c r="D63" s="42"/>
      <c r="E63" s="40"/>
      <c r="F63" s="40"/>
      <c r="G63" s="29"/>
      <c r="H63" s="30">
        <v>289600</v>
      </c>
      <c r="I63" s="31"/>
      <c r="J63" s="29"/>
      <c r="K63" s="30">
        <f t="shared" si="6"/>
        <v>432000</v>
      </c>
      <c r="L63" s="272"/>
      <c r="M63" s="271">
        <v>432000</v>
      </c>
      <c r="N63" s="46"/>
      <c r="O63" s="46"/>
      <c r="P63" s="47"/>
      <c r="Q63" s="155"/>
      <c r="R63" s="155">
        <f t="shared" si="3"/>
        <v>432000</v>
      </c>
      <c r="S63" s="155"/>
      <c r="T63" s="155"/>
    </row>
    <row r="64" spans="1:20" ht="18" customHeight="1" x14ac:dyDescent="0.15">
      <c r="A64" s="58"/>
      <c r="B64" s="40"/>
      <c r="C64" s="40" t="s">
        <v>150</v>
      </c>
      <c r="D64" s="42"/>
      <c r="E64" s="40"/>
      <c r="F64" s="40"/>
      <c r="G64" s="29"/>
      <c r="H64" s="30">
        <v>950000</v>
      </c>
      <c r="I64" s="31"/>
      <c r="J64" s="29"/>
      <c r="K64" s="30">
        <f t="shared" si="6"/>
        <v>930000</v>
      </c>
      <c r="L64" s="272"/>
      <c r="M64" s="271">
        <v>930000</v>
      </c>
      <c r="N64" s="46"/>
      <c r="O64" s="46"/>
      <c r="P64" s="47"/>
      <c r="Q64" s="155"/>
      <c r="R64" s="155">
        <f t="shared" si="3"/>
        <v>930000</v>
      </c>
      <c r="S64" s="155"/>
      <c r="T64" s="155"/>
    </row>
    <row r="65" spans="1:20" ht="18" customHeight="1" x14ac:dyDescent="0.15">
      <c r="A65" s="58"/>
      <c r="B65" s="40"/>
      <c r="C65" s="40" t="s">
        <v>151</v>
      </c>
      <c r="D65" s="42"/>
      <c r="E65" s="40"/>
      <c r="F65" s="40"/>
      <c r="G65" s="29"/>
      <c r="H65" s="30">
        <v>40000</v>
      </c>
      <c r="I65" s="31"/>
      <c r="J65" s="29"/>
      <c r="K65" s="30">
        <f t="shared" si="6"/>
        <v>110000</v>
      </c>
      <c r="L65" s="272"/>
      <c r="M65" s="271">
        <v>110000</v>
      </c>
      <c r="N65" s="46"/>
      <c r="O65" s="46"/>
      <c r="P65" s="47"/>
      <c r="Q65" s="155"/>
      <c r="R65" s="155">
        <f t="shared" si="3"/>
        <v>110000</v>
      </c>
      <c r="S65" s="155"/>
      <c r="T65" s="155"/>
    </row>
    <row r="66" spans="1:20" ht="18" customHeight="1" x14ac:dyDescent="0.15">
      <c r="A66" s="58"/>
      <c r="B66" s="40"/>
      <c r="C66" s="40" t="s">
        <v>152</v>
      </c>
      <c r="D66" s="42"/>
      <c r="E66" s="40"/>
      <c r="F66" s="40"/>
      <c r="G66" s="29"/>
      <c r="H66" s="30">
        <v>50000</v>
      </c>
      <c r="I66" s="31"/>
      <c r="J66" s="29"/>
      <c r="K66" s="30">
        <f t="shared" si="6"/>
        <v>1700000</v>
      </c>
      <c r="L66" s="272"/>
      <c r="M66" s="271">
        <v>1700000</v>
      </c>
      <c r="N66" s="46"/>
      <c r="O66" s="46"/>
      <c r="P66" s="47"/>
      <c r="Q66" s="155"/>
      <c r="R66" s="155">
        <f t="shared" si="3"/>
        <v>1700000</v>
      </c>
      <c r="S66" s="155"/>
      <c r="T66" s="155"/>
    </row>
    <row r="67" spans="1:20" ht="18" customHeight="1" x14ac:dyDescent="0.15">
      <c r="A67" s="58"/>
      <c r="B67" s="40"/>
      <c r="C67" s="40" t="s">
        <v>160</v>
      </c>
      <c r="D67" s="42"/>
      <c r="E67" s="40"/>
      <c r="F67" s="40"/>
      <c r="G67" s="29"/>
      <c r="H67" s="30">
        <v>346500</v>
      </c>
      <c r="I67" s="31"/>
      <c r="J67" s="29"/>
      <c r="K67" s="30">
        <f t="shared" si="6"/>
        <v>305000</v>
      </c>
      <c r="L67" s="272"/>
      <c r="M67" s="271">
        <v>305000</v>
      </c>
      <c r="N67" s="46"/>
      <c r="O67" s="46"/>
      <c r="P67" s="47"/>
      <c r="Q67" s="155"/>
      <c r="R67" s="155">
        <f t="shared" si="3"/>
        <v>305000</v>
      </c>
      <c r="S67" s="155"/>
      <c r="T67" s="155"/>
    </row>
    <row r="68" spans="1:20" ht="18" customHeight="1" x14ac:dyDescent="0.15">
      <c r="A68" s="58"/>
      <c r="B68" s="40"/>
      <c r="C68" s="40" t="s">
        <v>155</v>
      </c>
      <c r="D68" s="42"/>
      <c r="E68" s="40"/>
      <c r="F68" s="40"/>
      <c r="G68" s="29"/>
      <c r="H68" s="30">
        <v>2950000</v>
      </c>
      <c r="I68" s="31"/>
      <c r="J68" s="29"/>
      <c r="K68" s="30">
        <f t="shared" si="6"/>
        <v>3810000</v>
      </c>
      <c r="L68" s="272"/>
      <c r="M68" s="271">
        <v>3810000</v>
      </c>
      <c r="N68" s="46"/>
      <c r="O68" s="46"/>
      <c r="P68" s="47"/>
      <c r="Q68" s="155"/>
      <c r="R68" s="155">
        <f t="shared" si="3"/>
        <v>3810000</v>
      </c>
      <c r="S68" s="155"/>
      <c r="T68" s="155"/>
    </row>
    <row r="69" spans="1:20" ht="18" customHeight="1" x14ac:dyDescent="0.15">
      <c r="A69" s="58"/>
      <c r="B69" s="40"/>
      <c r="C69" s="40" t="s">
        <v>156</v>
      </c>
      <c r="D69" s="42"/>
      <c r="E69" s="40"/>
      <c r="F69" s="40"/>
      <c r="G69" s="29"/>
      <c r="H69" s="30">
        <v>900000</v>
      </c>
      <c r="I69" s="31"/>
      <c r="J69" s="29"/>
      <c r="K69" s="30">
        <f t="shared" si="6"/>
        <v>100000</v>
      </c>
      <c r="L69" s="272"/>
      <c r="M69" s="271">
        <v>100000</v>
      </c>
      <c r="N69" s="46"/>
      <c r="O69" s="46"/>
      <c r="P69" s="47"/>
      <c r="Q69" s="155"/>
      <c r="R69" s="155">
        <f t="shared" si="3"/>
        <v>100000</v>
      </c>
      <c r="S69" s="155"/>
      <c r="T69" s="155"/>
    </row>
    <row r="70" spans="1:20" ht="18" customHeight="1" x14ac:dyDescent="0.15">
      <c r="A70" s="58"/>
      <c r="B70" s="40"/>
      <c r="C70" s="40" t="s">
        <v>158</v>
      </c>
      <c r="D70" s="42"/>
      <c r="E70" s="40"/>
      <c r="F70" s="40"/>
      <c r="G70" s="29"/>
      <c r="H70" s="30">
        <v>23000</v>
      </c>
      <c r="I70" s="31"/>
      <c r="J70" s="29"/>
      <c r="K70" s="30">
        <f t="shared" si="6"/>
        <v>33000</v>
      </c>
      <c r="L70" s="272"/>
      <c r="M70" s="271">
        <v>33000</v>
      </c>
      <c r="N70" s="46"/>
      <c r="O70" s="46"/>
      <c r="P70" s="47"/>
      <c r="Q70" s="155"/>
      <c r="R70" s="155">
        <f t="shared" si="3"/>
        <v>33000</v>
      </c>
      <c r="S70" s="155"/>
      <c r="T70" s="155"/>
    </row>
    <row r="71" spans="1:20" ht="18" customHeight="1" x14ac:dyDescent="0.15">
      <c r="A71" s="58"/>
      <c r="B71" s="40"/>
      <c r="C71" s="40" t="s">
        <v>170</v>
      </c>
      <c r="D71" s="42"/>
      <c r="E71" s="40"/>
      <c r="F71" s="40"/>
      <c r="G71" s="29"/>
      <c r="H71" s="30">
        <v>0</v>
      </c>
      <c r="I71" s="31"/>
      <c r="J71" s="29"/>
      <c r="K71" s="30">
        <f t="shared" si="6"/>
        <v>5000</v>
      </c>
      <c r="L71" s="272"/>
      <c r="M71" s="271">
        <v>5000</v>
      </c>
      <c r="N71" s="46"/>
      <c r="O71" s="46"/>
      <c r="P71" s="47"/>
      <c r="Q71" s="155"/>
      <c r="R71" s="155">
        <f t="shared" si="3"/>
        <v>5000</v>
      </c>
      <c r="S71" s="155"/>
      <c r="T71" s="155"/>
    </row>
    <row r="72" spans="1:20" ht="18" customHeight="1" x14ac:dyDescent="0.15">
      <c r="A72" s="58"/>
      <c r="B72" s="40"/>
      <c r="C72" s="40" t="s">
        <v>159</v>
      </c>
      <c r="D72" s="42"/>
      <c r="E72" s="40"/>
      <c r="F72" s="40"/>
      <c r="G72" s="29"/>
      <c r="H72" s="30">
        <v>8000</v>
      </c>
      <c r="I72" s="31"/>
      <c r="J72" s="29"/>
      <c r="K72" s="30">
        <f t="shared" si="6"/>
        <v>80000</v>
      </c>
      <c r="L72" s="272"/>
      <c r="M72" s="271">
        <v>80000</v>
      </c>
      <c r="N72" s="46"/>
      <c r="O72" s="46"/>
      <c r="P72" s="47"/>
      <c r="Q72" s="155"/>
      <c r="R72" s="155">
        <f t="shared" si="3"/>
        <v>80000</v>
      </c>
      <c r="S72" s="155"/>
      <c r="T72" s="155"/>
    </row>
    <row r="73" spans="1:20" ht="18" customHeight="1" x14ac:dyDescent="0.15">
      <c r="A73" s="58"/>
      <c r="B73" s="366" t="s">
        <v>44</v>
      </c>
      <c r="C73" s="367"/>
      <c r="D73" s="367"/>
      <c r="E73" s="367"/>
      <c r="F73" s="368"/>
      <c r="G73" s="29" t="s">
        <v>171</v>
      </c>
      <c r="H73" s="30">
        <f>H74</f>
        <v>80000</v>
      </c>
      <c r="I73" s="31" t="s">
        <v>172</v>
      </c>
      <c r="J73" s="29" t="s">
        <v>171</v>
      </c>
      <c r="K73" s="30">
        <f>K74</f>
        <v>80000</v>
      </c>
      <c r="L73" s="31" t="s">
        <v>172</v>
      </c>
      <c r="M73" s="154"/>
      <c r="N73" s="46"/>
      <c r="O73" s="46"/>
      <c r="P73" s="47"/>
      <c r="Q73" s="155"/>
      <c r="R73" s="155">
        <f t="shared" si="3"/>
        <v>0</v>
      </c>
      <c r="S73" s="155"/>
      <c r="T73" s="155"/>
    </row>
    <row r="74" spans="1:20" ht="18" customHeight="1" x14ac:dyDescent="0.15">
      <c r="A74" s="58"/>
      <c r="B74" s="40"/>
      <c r="C74" s="255" t="s">
        <v>149</v>
      </c>
      <c r="D74" s="255"/>
      <c r="E74" s="255"/>
      <c r="F74" s="255"/>
      <c r="G74" s="29"/>
      <c r="H74" s="30">
        <v>80000</v>
      </c>
      <c r="I74" s="31"/>
      <c r="J74" s="29"/>
      <c r="K74" s="30">
        <f>M74+N74+O74+P74</f>
        <v>80000</v>
      </c>
      <c r="L74" s="31"/>
      <c r="M74" s="154"/>
      <c r="N74" s="46">
        <v>80000</v>
      </c>
      <c r="O74" s="46"/>
      <c r="P74" s="47"/>
      <c r="Q74" s="155"/>
      <c r="R74" s="155">
        <f t="shared" si="3"/>
        <v>80000</v>
      </c>
      <c r="S74" s="155"/>
      <c r="T74" s="155"/>
    </row>
    <row r="75" spans="1:20" ht="18" customHeight="1" x14ac:dyDescent="0.15">
      <c r="A75" s="58"/>
      <c r="B75" s="366" t="s">
        <v>45</v>
      </c>
      <c r="C75" s="367"/>
      <c r="D75" s="367"/>
      <c r="E75" s="367"/>
      <c r="F75" s="368"/>
      <c r="G75" s="29" t="s">
        <v>162</v>
      </c>
      <c r="H75" s="30">
        <f>SUM(H76:H85)</f>
        <v>17803830</v>
      </c>
      <c r="I75" s="31" t="s">
        <v>172</v>
      </c>
      <c r="J75" s="29" t="s">
        <v>171</v>
      </c>
      <c r="K75" s="30">
        <f>SUM(K76:K85)</f>
        <v>18993900</v>
      </c>
      <c r="L75" s="31" t="s">
        <v>172</v>
      </c>
      <c r="M75" s="154"/>
      <c r="N75" s="46"/>
      <c r="O75" s="46"/>
      <c r="P75" s="47"/>
      <c r="Q75" s="155"/>
      <c r="R75" s="155">
        <f t="shared" si="3"/>
        <v>0</v>
      </c>
      <c r="S75" s="155"/>
      <c r="T75" s="155"/>
    </row>
    <row r="76" spans="1:20" ht="18" customHeight="1" x14ac:dyDescent="0.15">
      <c r="A76" s="58"/>
      <c r="B76" s="40"/>
      <c r="C76" s="256" t="s">
        <v>161</v>
      </c>
      <c r="D76" s="256"/>
      <c r="E76" s="256"/>
      <c r="F76" s="220"/>
      <c r="G76" s="29"/>
      <c r="H76" s="30">
        <v>13804880</v>
      </c>
      <c r="I76" s="31"/>
      <c r="J76" s="29"/>
      <c r="K76" s="30">
        <f>M76+N76+O76+P76</f>
        <v>13921400</v>
      </c>
      <c r="L76" s="31"/>
      <c r="M76" s="154"/>
      <c r="N76" s="46"/>
      <c r="O76" s="46">
        <v>13921400</v>
      </c>
      <c r="P76" s="47"/>
      <c r="Q76" s="155"/>
      <c r="R76" s="155">
        <f t="shared" si="3"/>
        <v>13921400</v>
      </c>
      <c r="S76" s="155"/>
      <c r="T76" s="155"/>
    </row>
    <row r="77" spans="1:20" ht="18" customHeight="1" x14ac:dyDescent="0.15">
      <c r="A77" s="58"/>
      <c r="B77" s="40"/>
      <c r="C77" s="40" t="s">
        <v>147</v>
      </c>
      <c r="D77" s="42"/>
      <c r="E77" s="40"/>
      <c r="F77" s="40"/>
      <c r="G77" s="29"/>
      <c r="H77" s="30">
        <v>1184500</v>
      </c>
      <c r="I77" s="31"/>
      <c r="J77" s="29"/>
      <c r="K77" s="30">
        <f t="shared" ref="K77:K85" si="7">M77+N77+O77+P77</f>
        <v>1048000</v>
      </c>
      <c r="L77" s="31"/>
      <c r="M77" s="154"/>
      <c r="N77" s="46"/>
      <c r="O77" s="46">
        <v>1048000</v>
      </c>
      <c r="P77" s="47"/>
      <c r="Q77" s="155"/>
      <c r="R77" s="155">
        <f t="shared" si="3"/>
        <v>1048000</v>
      </c>
      <c r="S77" s="155"/>
      <c r="T77" s="155"/>
    </row>
    <row r="78" spans="1:20" ht="18" customHeight="1" x14ac:dyDescent="0.15">
      <c r="A78" s="58"/>
      <c r="B78" s="40"/>
      <c r="C78" s="40" t="s">
        <v>148</v>
      </c>
      <c r="D78" s="42"/>
      <c r="E78" s="40"/>
      <c r="F78" s="40"/>
      <c r="G78" s="29"/>
      <c r="H78" s="30">
        <v>94000</v>
      </c>
      <c r="I78" s="31"/>
      <c r="J78" s="29"/>
      <c r="K78" s="30">
        <f t="shared" si="7"/>
        <v>34000</v>
      </c>
      <c r="L78" s="31"/>
      <c r="M78" s="154"/>
      <c r="N78" s="46"/>
      <c r="O78" s="46">
        <v>34000</v>
      </c>
      <c r="P78" s="47"/>
      <c r="Q78" s="155"/>
      <c r="R78" s="155">
        <f t="shared" si="3"/>
        <v>34000</v>
      </c>
      <c r="S78" s="155"/>
      <c r="T78" s="155"/>
    </row>
    <row r="79" spans="1:20" ht="18" customHeight="1" x14ac:dyDescent="0.15">
      <c r="A79" s="58"/>
      <c r="B79" s="40"/>
      <c r="C79" s="40" t="s">
        <v>149</v>
      </c>
      <c r="D79" s="42"/>
      <c r="E79" s="40"/>
      <c r="F79" s="40"/>
      <c r="G79" s="29"/>
      <c r="H79" s="30">
        <v>1100450</v>
      </c>
      <c r="I79" s="31"/>
      <c r="J79" s="29"/>
      <c r="K79" s="30">
        <f t="shared" si="7"/>
        <v>1983500</v>
      </c>
      <c r="L79" s="31"/>
      <c r="M79" s="154"/>
      <c r="N79" s="46"/>
      <c r="O79" s="46">
        <v>1983500</v>
      </c>
      <c r="P79" s="47"/>
      <c r="Q79" s="155"/>
      <c r="R79" s="155">
        <f t="shared" si="3"/>
        <v>1983500</v>
      </c>
      <c r="S79" s="155"/>
      <c r="T79" s="155"/>
    </row>
    <row r="80" spans="1:20" ht="18" customHeight="1" x14ac:dyDescent="0.15">
      <c r="A80" s="58"/>
      <c r="B80" s="40"/>
      <c r="C80" s="40" t="s">
        <v>150</v>
      </c>
      <c r="D80" s="42"/>
      <c r="E80" s="40"/>
      <c r="F80" s="40"/>
      <c r="G80" s="29"/>
      <c r="H80" s="30">
        <v>235000</v>
      </c>
      <c r="I80" s="31"/>
      <c r="J80" s="29"/>
      <c r="K80" s="30">
        <f t="shared" si="7"/>
        <v>255000</v>
      </c>
      <c r="L80" s="31"/>
      <c r="M80" s="154"/>
      <c r="N80" s="46"/>
      <c r="O80" s="46">
        <v>255000</v>
      </c>
      <c r="P80" s="47"/>
      <c r="Q80" s="155"/>
      <c r="R80" s="155">
        <f t="shared" si="3"/>
        <v>255000</v>
      </c>
      <c r="S80" s="155"/>
      <c r="T80" s="155"/>
    </row>
    <row r="81" spans="1:20" ht="18" customHeight="1" x14ac:dyDescent="0.15">
      <c r="A81" s="58"/>
      <c r="B81" s="40"/>
      <c r="C81" s="40" t="s">
        <v>151</v>
      </c>
      <c r="D81" s="42"/>
      <c r="E81" s="40"/>
      <c r="F81" s="40"/>
      <c r="G81" s="29"/>
      <c r="H81" s="30">
        <v>870000</v>
      </c>
      <c r="I81" s="31"/>
      <c r="J81" s="29"/>
      <c r="K81" s="30">
        <f t="shared" si="7"/>
        <v>980000</v>
      </c>
      <c r="L81" s="31"/>
      <c r="M81" s="154"/>
      <c r="N81" s="46"/>
      <c r="O81" s="46">
        <v>980000</v>
      </c>
      <c r="P81" s="47"/>
      <c r="Q81" s="155"/>
      <c r="R81" s="155">
        <f t="shared" si="3"/>
        <v>980000</v>
      </c>
      <c r="S81" s="155"/>
      <c r="T81" s="155"/>
    </row>
    <row r="82" spans="1:20" ht="18" customHeight="1" x14ac:dyDescent="0.15">
      <c r="A82" s="58"/>
      <c r="B82" s="40"/>
      <c r="C82" s="366" t="s">
        <v>152</v>
      </c>
      <c r="D82" s="367"/>
      <c r="E82" s="367"/>
      <c r="F82" s="40"/>
      <c r="G82" s="29"/>
      <c r="H82" s="30"/>
      <c r="I82" s="31"/>
      <c r="J82" s="29"/>
      <c r="K82" s="30">
        <f t="shared" si="7"/>
        <v>100000</v>
      </c>
      <c r="L82" s="31"/>
      <c r="M82" s="154"/>
      <c r="N82" s="46"/>
      <c r="O82" s="46">
        <v>100000</v>
      </c>
      <c r="P82" s="47"/>
      <c r="Q82" s="155"/>
      <c r="R82" s="155">
        <f t="shared" si="3"/>
        <v>100000</v>
      </c>
      <c r="S82" s="155"/>
      <c r="T82" s="155"/>
    </row>
    <row r="83" spans="1:20" ht="18" customHeight="1" x14ac:dyDescent="0.15">
      <c r="A83" s="58"/>
      <c r="B83" s="40"/>
      <c r="C83" s="40" t="s">
        <v>153</v>
      </c>
      <c r="D83" s="42"/>
      <c r="E83" s="40"/>
      <c r="F83" s="40"/>
      <c r="G83" s="29"/>
      <c r="H83" s="30">
        <v>348000</v>
      </c>
      <c r="I83" s="31"/>
      <c r="J83" s="29"/>
      <c r="K83" s="30">
        <f t="shared" si="7"/>
        <v>392000</v>
      </c>
      <c r="L83" s="31"/>
      <c r="M83" s="154"/>
      <c r="N83" s="46"/>
      <c r="O83" s="46">
        <v>392000</v>
      </c>
      <c r="P83" s="47"/>
      <c r="Q83" s="155"/>
      <c r="R83" s="155">
        <f t="shared" si="3"/>
        <v>392000</v>
      </c>
      <c r="S83" s="155"/>
      <c r="T83" s="155"/>
    </row>
    <row r="84" spans="1:20" ht="18" customHeight="1" x14ac:dyDescent="0.15">
      <c r="A84" s="58"/>
      <c r="B84" s="40"/>
      <c r="C84" s="40" t="s">
        <v>155</v>
      </c>
      <c r="D84" s="42"/>
      <c r="E84" s="40"/>
      <c r="F84" s="40"/>
      <c r="G84" s="29"/>
      <c r="H84" s="30">
        <v>107000</v>
      </c>
      <c r="I84" s="31"/>
      <c r="J84" s="29"/>
      <c r="K84" s="30">
        <f t="shared" si="7"/>
        <v>220000</v>
      </c>
      <c r="L84" s="31"/>
      <c r="M84" s="154"/>
      <c r="N84" s="46"/>
      <c r="O84" s="46">
        <v>220000</v>
      </c>
      <c r="P84" s="47"/>
      <c r="Q84" s="155"/>
      <c r="R84" s="155">
        <f t="shared" si="3"/>
        <v>220000</v>
      </c>
      <c r="S84" s="155"/>
      <c r="T84" s="155"/>
    </row>
    <row r="85" spans="1:20" ht="18" customHeight="1" x14ac:dyDescent="0.15">
      <c r="A85" s="58"/>
      <c r="B85" s="40"/>
      <c r="C85" s="40" t="s">
        <v>158</v>
      </c>
      <c r="D85" s="42"/>
      <c r="E85" s="40"/>
      <c r="F85" s="40"/>
      <c r="G85" s="29"/>
      <c r="H85" s="30">
        <v>60000</v>
      </c>
      <c r="I85" s="31"/>
      <c r="J85" s="29"/>
      <c r="K85" s="30">
        <f t="shared" si="7"/>
        <v>60000</v>
      </c>
      <c r="L85" s="31"/>
      <c r="M85" s="154"/>
      <c r="N85" s="46"/>
      <c r="O85" s="46">
        <v>60000</v>
      </c>
      <c r="P85" s="47"/>
      <c r="Q85" s="155"/>
      <c r="R85" s="155">
        <f t="shared" si="3"/>
        <v>60000</v>
      </c>
      <c r="S85" s="155"/>
      <c r="T85" s="155"/>
    </row>
    <row r="86" spans="1:20" ht="18" customHeight="1" x14ac:dyDescent="0.15">
      <c r="A86" s="58"/>
      <c r="B86" s="40" t="s">
        <v>80</v>
      </c>
      <c r="C86" s="40"/>
      <c r="D86" s="42"/>
      <c r="E86" s="40"/>
      <c r="F86" s="40"/>
      <c r="G86" s="29" t="s">
        <v>21</v>
      </c>
      <c r="H86" s="30">
        <f>SUM(H87:H110)</f>
        <v>29916964</v>
      </c>
      <c r="I86" s="31" t="s">
        <v>20</v>
      </c>
      <c r="J86" s="29" t="s">
        <v>21</v>
      </c>
      <c r="K86" s="30">
        <f>SUM(K87:K110)</f>
        <v>29827545</v>
      </c>
      <c r="L86" s="31" t="s">
        <v>22</v>
      </c>
      <c r="M86" s="154"/>
      <c r="N86" s="46"/>
      <c r="O86" s="46"/>
      <c r="P86" s="47"/>
      <c r="Q86" s="155"/>
      <c r="R86" s="155">
        <f t="shared" si="3"/>
        <v>0</v>
      </c>
      <c r="S86" s="155"/>
      <c r="T86" s="155"/>
    </row>
    <row r="87" spans="1:20" ht="18" customHeight="1" x14ac:dyDescent="0.15">
      <c r="A87" s="58"/>
      <c r="B87" s="40"/>
      <c r="C87" s="40" t="s">
        <v>47</v>
      </c>
      <c r="D87" s="42"/>
      <c r="E87" s="40"/>
      <c r="F87" s="40"/>
      <c r="G87" s="29"/>
      <c r="H87" s="30">
        <v>15300000</v>
      </c>
      <c r="I87" s="31"/>
      <c r="J87" s="29"/>
      <c r="K87" s="316">
        <f t="shared" ref="K87:K110" si="8">M87+N87+O87+P87</f>
        <v>15300000</v>
      </c>
      <c r="L87" s="312"/>
      <c r="M87" s="154">
        <v>12240000</v>
      </c>
      <c r="N87" s="46">
        <v>540000</v>
      </c>
      <c r="O87" s="46">
        <v>2520000</v>
      </c>
      <c r="P87" s="47"/>
      <c r="Q87" s="155"/>
      <c r="R87" s="155">
        <f t="shared" si="3"/>
        <v>15300000</v>
      </c>
      <c r="S87" s="155"/>
      <c r="T87" s="155"/>
    </row>
    <row r="88" spans="1:20" ht="18" customHeight="1" x14ac:dyDescent="0.15">
      <c r="A88" s="58"/>
      <c r="B88" s="40"/>
      <c r="C88" s="40" t="s">
        <v>146</v>
      </c>
      <c r="D88" s="42"/>
      <c r="E88" s="40"/>
      <c r="F88" s="40"/>
      <c r="G88" s="29"/>
      <c r="H88" s="30">
        <v>0</v>
      </c>
      <c r="I88" s="31"/>
      <c r="J88" s="29"/>
      <c r="K88" s="30">
        <f t="shared" si="8"/>
        <v>0</v>
      </c>
      <c r="L88" s="31"/>
      <c r="M88" s="154">
        <v>0</v>
      </c>
      <c r="N88" s="46"/>
      <c r="O88" s="46"/>
      <c r="P88" s="47"/>
      <c r="Q88" s="155"/>
      <c r="R88" s="155">
        <f t="shared" si="3"/>
        <v>0</v>
      </c>
      <c r="S88" s="155"/>
      <c r="T88" s="155"/>
    </row>
    <row r="89" spans="1:20" ht="18" customHeight="1" x14ac:dyDescent="0.15">
      <c r="A89" s="58"/>
      <c r="B89" s="40"/>
      <c r="C89" s="40" t="s">
        <v>48</v>
      </c>
      <c r="D89" s="42"/>
      <c r="E89" s="40"/>
      <c r="F89" s="40"/>
      <c r="G89" s="29"/>
      <c r="H89" s="30">
        <v>279225</v>
      </c>
      <c r="I89" s="31"/>
      <c r="J89" s="29"/>
      <c r="K89" s="30">
        <f t="shared" si="8"/>
        <v>859988</v>
      </c>
      <c r="L89" s="312"/>
      <c r="M89" s="154">
        <v>687990</v>
      </c>
      <c r="N89" s="46">
        <v>30353</v>
      </c>
      <c r="O89" s="46">
        <v>141645</v>
      </c>
      <c r="P89" s="47"/>
      <c r="Q89" s="155"/>
      <c r="R89" s="155">
        <f t="shared" si="3"/>
        <v>859988</v>
      </c>
      <c r="S89" s="155"/>
      <c r="T89" s="155"/>
    </row>
    <row r="90" spans="1:20" ht="18" customHeight="1" x14ac:dyDescent="0.15">
      <c r="A90" s="58"/>
      <c r="B90" s="40"/>
      <c r="C90" s="40" t="s">
        <v>49</v>
      </c>
      <c r="D90" s="42"/>
      <c r="E90" s="40"/>
      <c r="F90" s="40"/>
      <c r="G90" s="29"/>
      <c r="H90" s="30">
        <v>2210000</v>
      </c>
      <c r="I90" s="31"/>
      <c r="J90" s="29"/>
      <c r="K90" s="30">
        <f t="shared" si="8"/>
        <v>1700000</v>
      </c>
      <c r="L90" s="312"/>
      <c r="M90" s="154">
        <v>1360000</v>
      </c>
      <c r="N90" s="46">
        <v>60000</v>
      </c>
      <c r="O90" s="46">
        <v>280000</v>
      </c>
      <c r="P90" s="47"/>
      <c r="Q90" s="155"/>
      <c r="R90" s="155">
        <f t="shared" si="3"/>
        <v>1700000</v>
      </c>
      <c r="S90" s="155"/>
      <c r="T90" s="155"/>
    </row>
    <row r="91" spans="1:20" ht="18" customHeight="1" x14ac:dyDescent="0.15">
      <c r="A91" s="58"/>
      <c r="B91" s="40"/>
      <c r="C91" s="40" t="s">
        <v>50</v>
      </c>
      <c r="D91" s="42"/>
      <c r="E91" s="40"/>
      <c r="F91" s="40"/>
      <c r="G91" s="29"/>
      <c r="H91" s="30">
        <v>442850</v>
      </c>
      <c r="I91" s="31"/>
      <c r="J91" s="29"/>
      <c r="K91" s="30">
        <f t="shared" si="8"/>
        <v>442850</v>
      </c>
      <c r="L91" s="312"/>
      <c r="M91" s="154">
        <v>354280</v>
      </c>
      <c r="N91" s="46">
        <v>15630</v>
      </c>
      <c r="O91" s="46">
        <v>72940</v>
      </c>
      <c r="P91" s="47"/>
      <c r="Q91" s="155"/>
      <c r="R91" s="155">
        <f t="shared" si="3"/>
        <v>442850</v>
      </c>
      <c r="S91" s="155"/>
      <c r="T91" s="155"/>
    </row>
    <row r="92" spans="1:20" ht="18" customHeight="1" x14ac:dyDescent="0.15">
      <c r="A92" s="58"/>
      <c r="B92" s="40"/>
      <c r="C92" s="40" t="s">
        <v>51</v>
      </c>
      <c r="D92" s="42"/>
      <c r="E92" s="40"/>
      <c r="F92" s="40"/>
      <c r="G92" s="29"/>
      <c r="H92" s="30">
        <v>1387234</v>
      </c>
      <c r="I92" s="31"/>
      <c r="J92" s="29"/>
      <c r="K92" s="30">
        <f t="shared" si="8"/>
        <v>1449250</v>
      </c>
      <c r="L92" s="312"/>
      <c r="M92" s="154">
        <v>1159400</v>
      </c>
      <c r="N92" s="46">
        <v>51150</v>
      </c>
      <c r="O92" s="46">
        <v>238700</v>
      </c>
      <c r="P92" s="47"/>
      <c r="Q92" s="155"/>
      <c r="R92" s="155">
        <f t="shared" si="3"/>
        <v>1449250</v>
      </c>
      <c r="S92" s="155"/>
      <c r="T92" s="155"/>
    </row>
    <row r="93" spans="1:20" ht="18" customHeight="1" x14ac:dyDescent="0.15">
      <c r="A93" s="58"/>
      <c r="B93" s="40"/>
      <c r="C93" s="40" t="s">
        <v>52</v>
      </c>
      <c r="D93" s="42"/>
      <c r="E93" s="40"/>
      <c r="F93" s="40"/>
      <c r="G93" s="29"/>
      <c r="H93" s="30">
        <v>374279</v>
      </c>
      <c r="I93" s="31"/>
      <c r="J93" s="29"/>
      <c r="K93" s="30">
        <f t="shared" si="8"/>
        <v>216307</v>
      </c>
      <c r="L93" s="313"/>
      <c r="M93" s="45">
        <v>173046</v>
      </c>
      <c r="N93" s="46">
        <v>7634</v>
      </c>
      <c r="O93" s="46">
        <v>35627</v>
      </c>
      <c r="P93" s="47"/>
      <c r="Q93" s="155"/>
      <c r="R93" s="155">
        <f t="shared" si="3"/>
        <v>216307</v>
      </c>
      <c r="S93" s="155"/>
      <c r="T93" s="155"/>
    </row>
    <row r="94" spans="1:20" ht="18" customHeight="1" x14ac:dyDescent="0.15">
      <c r="A94" s="58"/>
      <c r="B94" s="40"/>
      <c r="C94" s="40" t="s">
        <v>53</v>
      </c>
      <c r="D94" s="42"/>
      <c r="E94" s="40"/>
      <c r="F94" s="40"/>
      <c r="G94" s="29"/>
      <c r="H94" s="30">
        <v>85000</v>
      </c>
      <c r="I94" s="31"/>
      <c r="J94" s="29"/>
      <c r="K94" s="30">
        <f t="shared" si="8"/>
        <v>85000</v>
      </c>
      <c r="L94" s="314"/>
      <c r="M94" s="4">
        <v>68000</v>
      </c>
      <c r="N94" s="46">
        <v>3000</v>
      </c>
      <c r="O94" s="46">
        <v>14000</v>
      </c>
      <c r="P94" s="47"/>
      <c r="Q94" s="155"/>
      <c r="R94" s="155">
        <f>SUM(L94:P94)</f>
        <v>85000</v>
      </c>
      <c r="S94" s="155"/>
      <c r="T94" s="155"/>
    </row>
    <row r="95" spans="1:20" ht="18" customHeight="1" x14ac:dyDescent="0.15">
      <c r="A95" s="58"/>
      <c r="B95" s="40"/>
      <c r="C95" s="40" t="s">
        <v>54</v>
      </c>
      <c r="D95" s="42"/>
      <c r="E95" s="40"/>
      <c r="F95" s="40"/>
      <c r="G95" s="29"/>
      <c r="H95" s="30">
        <v>682550</v>
      </c>
      <c r="I95" s="31"/>
      <c r="J95" s="29"/>
      <c r="K95" s="30">
        <f t="shared" si="8"/>
        <v>697000</v>
      </c>
      <c r="L95" s="312"/>
      <c r="M95" s="154">
        <v>557600</v>
      </c>
      <c r="N95" s="46">
        <v>24600</v>
      </c>
      <c r="O95" s="46">
        <v>114800</v>
      </c>
      <c r="P95" s="47"/>
      <c r="Q95" s="155"/>
      <c r="R95" s="155">
        <f t="shared" si="3"/>
        <v>697000</v>
      </c>
      <c r="S95" s="155"/>
      <c r="T95" s="155"/>
    </row>
    <row r="96" spans="1:20" ht="18" customHeight="1" x14ac:dyDescent="0.15">
      <c r="A96" s="58"/>
      <c r="B96" s="40"/>
      <c r="C96" s="40" t="s">
        <v>55</v>
      </c>
      <c r="D96" s="42"/>
      <c r="E96" s="40"/>
      <c r="F96" s="40"/>
      <c r="G96" s="29"/>
      <c r="H96" s="30">
        <v>85000</v>
      </c>
      <c r="I96" s="31"/>
      <c r="J96" s="29"/>
      <c r="K96" s="30">
        <f t="shared" si="8"/>
        <v>85000</v>
      </c>
      <c r="L96" s="312"/>
      <c r="M96" s="154">
        <v>68000</v>
      </c>
      <c r="N96" s="46">
        <v>3000</v>
      </c>
      <c r="O96" s="46">
        <v>14000</v>
      </c>
      <c r="P96" s="47"/>
      <c r="Q96" s="155"/>
      <c r="R96" s="155">
        <f t="shared" si="3"/>
        <v>85000</v>
      </c>
      <c r="S96" s="155"/>
      <c r="T96" s="155"/>
    </row>
    <row r="97" spans="1:20" ht="18" customHeight="1" x14ac:dyDescent="0.15">
      <c r="A97" s="58"/>
      <c r="B97" s="40"/>
      <c r="C97" s="40" t="s">
        <v>56</v>
      </c>
      <c r="D97" s="42"/>
      <c r="E97" s="40"/>
      <c r="F97" s="40"/>
      <c r="G97" s="29"/>
      <c r="H97" s="30">
        <v>481100</v>
      </c>
      <c r="I97" s="31"/>
      <c r="J97" s="29"/>
      <c r="K97" s="30">
        <f t="shared" si="8"/>
        <v>566100</v>
      </c>
      <c r="L97" s="312"/>
      <c r="M97" s="154">
        <v>452880</v>
      </c>
      <c r="N97" s="46">
        <v>19980</v>
      </c>
      <c r="O97" s="46">
        <v>93240</v>
      </c>
      <c r="P97" s="47"/>
      <c r="Q97" s="155"/>
      <c r="R97" s="155">
        <f t="shared" si="3"/>
        <v>566100</v>
      </c>
      <c r="S97" s="155"/>
      <c r="T97" s="155"/>
    </row>
    <row r="98" spans="1:20" ht="18" customHeight="1" x14ac:dyDescent="0.15">
      <c r="A98" s="58"/>
      <c r="B98" s="40"/>
      <c r="C98" s="40" t="s">
        <v>57</v>
      </c>
      <c r="D98" s="42"/>
      <c r="E98" s="40"/>
      <c r="F98" s="40"/>
      <c r="G98" s="29"/>
      <c r="H98" s="30">
        <v>0</v>
      </c>
      <c r="I98" s="31"/>
      <c r="J98" s="29"/>
      <c r="K98" s="30">
        <f t="shared" si="8"/>
        <v>0</v>
      </c>
      <c r="L98" s="31"/>
      <c r="M98" s="154">
        <v>0</v>
      </c>
      <c r="N98" s="46"/>
      <c r="O98" s="46"/>
      <c r="P98" s="47"/>
      <c r="Q98" s="155"/>
      <c r="R98" s="155">
        <f t="shared" si="3"/>
        <v>0</v>
      </c>
      <c r="S98" s="155"/>
      <c r="T98" s="155"/>
    </row>
    <row r="99" spans="1:20" ht="18" customHeight="1" x14ac:dyDescent="0.15">
      <c r="A99" s="58"/>
      <c r="B99" s="40"/>
      <c r="C99" s="40" t="s">
        <v>58</v>
      </c>
      <c r="D99" s="42"/>
      <c r="E99" s="40"/>
      <c r="F99" s="40"/>
      <c r="G99" s="29"/>
      <c r="H99" s="30">
        <v>340000</v>
      </c>
      <c r="I99" s="31"/>
      <c r="J99" s="29"/>
      <c r="K99" s="30">
        <f t="shared" si="8"/>
        <v>340000</v>
      </c>
      <c r="L99" s="312"/>
      <c r="M99" s="154">
        <v>272000</v>
      </c>
      <c r="N99" s="46">
        <v>12000</v>
      </c>
      <c r="O99" s="46">
        <v>56000</v>
      </c>
      <c r="P99" s="47"/>
      <c r="Q99" s="155"/>
      <c r="R99" s="155">
        <f t="shared" si="3"/>
        <v>340000</v>
      </c>
      <c r="S99" s="155"/>
      <c r="T99" s="155"/>
    </row>
    <row r="100" spans="1:20" ht="18" customHeight="1" x14ac:dyDescent="0.15">
      <c r="A100" s="58"/>
      <c r="B100" s="40"/>
      <c r="C100" s="40" t="s">
        <v>59</v>
      </c>
      <c r="D100" s="42"/>
      <c r="E100" s="40"/>
      <c r="F100" s="40"/>
      <c r="G100" s="29"/>
      <c r="H100" s="30">
        <v>4675000</v>
      </c>
      <c r="I100" s="31"/>
      <c r="J100" s="29"/>
      <c r="K100" s="30">
        <f t="shared" si="8"/>
        <v>4675000</v>
      </c>
      <c r="L100" s="312"/>
      <c r="M100" s="154">
        <v>3740000</v>
      </c>
      <c r="N100" s="46">
        <v>165000</v>
      </c>
      <c r="O100" s="46">
        <v>770000</v>
      </c>
      <c r="P100" s="47"/>
      <c r="Q100" s="155"/>
      <c r="R100" s="155">
        <f t="shared" si="3"/>
        <v>4675000</v>
      </c>
      <c r="S100" s="155"/>
      <c r="T100" s="155"/>
    </row>
    <row r="101" spans="1:20" ht="18" customHeight="1" x14ac:dyDescent="0.15">
      <c r="A101" s="58"/>
      <c r="B101" s="40"/>
      <c r="C101" s="40" t="s">
        <v>60</v>
      </c>
      <c r="D101" s="42"/>
      <c r="E101" s="40"/>
      <c r="F101" s="40"/>
      <c r="G101" s="29"/>
      <c r="H101" s="30">
        <v>170000</v>
      </c>
      <c r="I101" s="31"/>
      <c r="J101" s="29"/>
      <c r="K101" s="30">
        <f t="shared" si="8"/>
        <v>170000</v>
      </c>
      <c r="L101" s="312"/>
      <c r="M101" s="154">
        <v>136000</v>
      </c>
      <c r="N101" s="46">
        <v>6000</v>
      </c>
      <c r="O101" s="46">
        <v>28000</v>
      </c>
      <c r="P101" s="47"/>
      <c r="Q101" s="155"/>
      <c r="R101" s="155">
        <f t="shared" si="3"/>
        <v>170000</v>
      </c>
      <c r="S101" s="155"/>
      <c r="T101" s="155"/>
    </row>
    <row r="102" spans="1:20" ht="18" customHeight="1" x14ac:dyDescent="0.15">
      <c r="A102" s="58"/>
      <c r="B102" s="40"/>
      <c r="C102" s="40" t="s">
        <v>61</v>
      </c>
      <c r="D102" s="42"/>
      <c r="E102" s="40"/>
      <c r="F102" s="40"/>
      <c r="G102" s="29"/>
      <c r="H102" s="30">
        <v>136000</v>
      </c>
      <c r="I102" s="31"/>
      <c r="J102" s="29"/>
      <c r="K102" s="30">
        <f t="shared" si="8"/>
        <v>136000</v>
      </c>
      <c r="L102" s="312"/>
      <c r="M102" s="154">
        <v>108800</v>
      </c>
      <c r="N102" s="46">
        <v>4800</v>
      </c>
      <c r="O102" s="46">
        <v>22400</v>
      </c>
      <c r="P102" s="47"/>
      <c r="Q102" s="155"/>
      <c r="R102" s="155">
        <f t="shared" si="3"/>
        <v>136000</v>
      </c>
      <c r="S102" s="155"/>
      <c r="T102" s="155"/>
    </row>
    <row r="103" spans="1:20" ht="18" customHeight="1" x14ac:dyDescent="0.15">
      <c r="A103" s="58"/>
      <c r="B103" s="40"/>
      <c r="C103" s="40" t="s">
        <v>62</v>
      </c>
      <c r="D103" s="42"/>
      <c r="E103" s="40"/>
      <c r="F103" s="40"/>
      <c r="G103" s="29"/>
      <c r="H103" s="30">
        <v>875500</v>
      </c>
      <c r="I103" s="31"/>
      <c r="J103" s="29"/>
      <c r="K103" s="30">
        <f t="shared" si="8"/>
        <v>875500</v>
      </c>
      <c r="L103" s="312"/>
      <c r="M103" s="154">
        <v>700400</v>
      </c>
      <c r="N103" s="46">
        <v>30900</v>
      </c>
      <c r="O103" s="46">
        <v>144200</v>
      </c>
      <c r="P103" s="47"/>
      <c r="Q103" s="155"/>
      <c r="R103" s="155">
        <f t="shared" si="3"/>
        <v>875500</v>
      </c>
      <c r="S103" s="155"/>
      <c r="T103" s="155"/>
    </row>
    <row r="104" spans="1:20" ht="18" customHeight="1" x14ac:dyDescent="0.15">
      <c r="A104" s="58"/>
      <c r="B104" s="40"/>
      <c r="C104" s="40" t="s">
        <v>63</v>
      </c>
      <c r="D104" s="42"/>
      <c r="E104" s="40"/>
      <c r="F104" s="40"/>
      <c r="G104" s="29"/>
      <c r="H104" s="30">
        <v>765000</v>
      </c>
      <c r="I104" s="31"/>
      <c r="J104" s="29"/>
      <c r="K104" s="30">
        <f t="shared" si="8"/>
        <v>765000</v>
      </c>
      <c r="L104" s="312"/>
      <c r="M104" s="154">
        <v>612000</v>
      </c>
      <c r="N104" s="46">
        <v>27000</v>
      </c>
      <c r="O104" s="46">
        <v>126000</v>
      </c>
      <c r="P104" s="47"/>
      <c r="Q104" s="155"/>
      <c r="R104" s="155">
        <f t="shared" ref="R104:R133" si="9">SUM(M104:P104)</f>
        <v>765000</v>
      </c>
      <c r="S104" s="155"/>
      <c r="T104" s="155"/>
    </row>
    <row r="105" spans="1:20" ht="18" customHeight="1" x14ac:dyDescent="0.15">
      <c r="A105" s="58"/>
      <c r="B105" s="40"/>
      <c r="C105" s="40" t="s">
        <v>64</v>
      </c>
      <c r="D105" s="42"/>
      <c r="E105" s="40"/>
      <c r="F105" s="40"/>
      <c r="G105" s="29"/>
      <c r="H105" s="30">
        <v>42500</v>
      </c>
      <c r="I105" s="31"/>
      <c r="J105" s="29"/>
      <c r="K105" s="30">
        <f t="shared" si="8"/>
        <v>42500</v>
      </c>
      <c r="L105" s="312"/>
      <c r="M105" s="154">
        <v>34000</v>
      </c>
      <c r="N105" s="46">
        <v>1500</v>
      </c>
      <c r="O105" s="46">
        <v>7000</v>
      </c>
      <c r="P105" s="47"/>
      <c r="Q105" s="155"/>
      <c r="R105" s="155">
        <f t="shared" si="9"/>
        <v>42500</v>
      </c>
      <c r="S105" s="155"/>
      <c r="T105" s="155"/>
    </row>
    <row r="106" spans="1:20" ht="18" customHeight="1" x14ac:dyDescent="0.15">
      <c r="A106" s="58"/>
      <c r="B106" s="40"/>
      <c r="C106" s="40" t="s">
        <v>65</v>
      </c>
      <c r="D106" s="42"/>
      <c r="E106" s="40"/>
      <c r="F106" s="40"/>
      <c r="G106" s="29"/>
      <c r="H106" s="30">
        <v>510000</v>
      </c>
      <c r="I106" s="31"/>
      <c r="J106" s="29"/>
      <c r="K106" s="30">
        <f>M106+N106+O106+P106</f>
        <v>510000</v>
      </c>
      <c r="L106" s="312"/>
      <c r="M106" s="154">
        <v>408000</v>
      </c>
      <c r="N106" s="46">
        <v>18000</v>
      </c>
      <c r="O106" s="46">
        <v>84000</v>
      </c>
      <c r="P106" s="47"/>
      <c r="Q106" s="155"/>
      <c r="R106" s="155">
        <f t="shared" si="9"/>
        <v>510000</v>
      </c>
      <c r="S106" s="155"/>
      <c r="T106" s="155"/>
    </row>
    <row r="107" spans="1:20" ht="18" customHeight="1" x14ac:dyDescent="0.15">
      <c r="A107" s="58"/>
      <c r="B107" s="40"/>
      <c r="C107" s="40" t="s">
        <v>66</v>
      </c>
      <c r="D107" s="42"/>
      <c r="E107" s="40"/>
      <c r="F107" s="40"/>
      <c r="G107" s="29"/>
      <c r="H107" s="30">
        <v>469200</v>
      </c>
      <c r="I107" s="31"/>
      <c r="J107" s="29"/>
      <c r="K107" s="30">
        <f t="shared" si="8"/>
        <v>452200</v>
      </c>
      <c r="L107" s="312"/>
      <c r="M107" s="154">
        <v>361760</v>
      </c>
      <c r="N107" s="46">
        <v>15960</v>
      </c>
      <c r="O107" s="46">
        <v>74480</v>
      </c>
      <c r="P107" s="47"/>
      <c r="Q107" s="155"/>
      <c r="R107" s="155">
        <f t="shared" si="9"/>
        <v>452200</v>
      </c>
      <c r="S107" s="155"/>
      <c r="T107" s="155"/>
    </row>
    <row r="108" spans="1:20" ht="18" customHeight="1" x14ac:dyDescent="0.15">
      <c r="A108" s="58"/>
      <c r="B108" s="40"/>
      <c r="C108" s="40" t="s">
        <v>100</v>
      </c>
      <c r="D108" s="42"/>
      <c r="E108" s="40"/>
      <c r="F108" s="40"/>
      <c r="G108" s="29"/>
      <c r="H108" s="223">
        <v>255000</v>
      </c>
      <c r="I108" s="31"/>
      <c r="J108" s="29"/>
      <c r="K108" s="30">
        <f t="shared" si="8"/>
        <v>255000</v>
      </c>
      <c r="L108" s="312"/>
      <c r="M108" s="224">
        <v>204000</v>
      </c>
      <c r="N108" s="225">
        <v>9000</v>
      </c>
      <c r="O108" s="225">
        <v>42000</v>
      </c>
      <c r="P108" s="226"/>
      <c r="Q108" s="155"/>
      <c r="R108" s="155">
        <f t="shared" si="9"/>
        <v>255000</v>
      </c>
      <c r="S108" s="155"/>
      <c r="T108" s="155"/>
    </row>
    <row r="109" spans="1:20" ht="18" customHeight="1" x14ac:dyDescent="0.15">
      <c r="A109" s="58"/>
      <c r="B109" s="40"/>
      <c r="C109" s="40" t="s">
        <v>67</v>
      </c>
      <c r="D109" s="42"/>
      <c r="E109" s="40"/>
      <c r="F109" s="40"/>
      <c r="G109" s="29"/>
      <c r="H109" s="223">
        <v>234226</v>
      </c>
      <c r="I109" s="31"/>
      <c r="J109" s="29"/>
      <c r="K109" s="30">
        <f t="shared" si="8"/>
        <v>204850</v>
      </c>
      <c r="L109" s="312"/>
      <c r="M109" s="224">
        <v>163880</v>
      </c>
      <c r="N109" s="225">
        <v>7230</v>
      </c>
      <c r="O109" s="225">
        <v>33740</v>
      </c>
      <c r="P109" s="226"/>
      <c r="Q109" s="155"/>
      <c r="R109" s="155">
        <f t="shared" si="9"/>
        <v>204850</v>
      </c>
      <c r="S109" s="155"/>
      <c r="T109" s="155"/>
    </row>
    <row r="110" spans="1:20" ht="18" customHeight="1" x14ac:dyDescent="0.15">
      <c r="A110" s="58"/>
      <c r="B110" s="40"/>
      <c r="C110" s="40" t="s">
        <v>101</v>
      </c>
      <c r="D110" s="42"/>
      <c r="E110" s="40"/>
      <c r="F110" s="40"/>
      <c r="G110" s="29"/>
      <c r="H110" s="223">
        <v>117300</v>
      </c>
      <c r="I110" s="31"/>
      <c r="J110" s="29"/>
      <c r="K110" s="30">
        <f t="shared" si="8"/>
        <v>0</v>
      </c>
      <c r="L110" s="31"/>
      <c r="M110" s="224"/>
      <c r="N110" s="225"/>
      <c r="O110" s="225"/>
      <c r="P110" s="226"/>
      <c r="Q110" s="155"/>
      <c r="R110" s="155">
        <f t="shared" si="9"/>
        <v>0</v>
      </c>
      <c r="S110" s="155"/>
      <c r="T110" s="155"/>
    </row>
    <row r="111" spans="1:20" ht="18" customHeight="1" x14ac:dyDescent="0.15">
      <c r="A111" s="58"/>
      <c r="B111" s="40" t="s">
        <v>68</v>
      </c>
      <c r="C111" s="40"/>
      <c r="D111" s="42"/>
      <c r="E111" s="40"/>
      <c r="F111" s="40"/>
      <c r="G111" s="29" t="s">
        <v>21</v>
      </c>
      <c r="H111" s="223">
        <f>SUM(H112:H139)</f>
        <v>10089514</v>
      </c>
      <c r="I111" s="31" t="s">
        <v>22</v>
      </c>
      <c r="J111" s="29" t="s">
        <v>21</v>
      </c>
      <c r="K111" s="223">
        <f>SUM(K112:K139)</f>
        <v>9426885</v>
      </c>
      <c r="L111" s="31" t="s">
        <v>22</v>
      </c>
      <c r="M111" s="224"/>
      <c r="N111" s="225"/>
      <c r="O111" s="225"/>
      <c r="P111" s="226"/>
      <c r="Q111" s="155"/>
      <c r="R111" s="155">
        <f t="shared" si="9"/>
        <v>0</v>
      </c>
      <c r="S111" s="155"/>
      <c r="T111" s="155"/>
    </row>
    <row r="112" spans="1:20" ht="18" customHeight="1" x14ac:dyDescent="0.15">
      <c r="A112" s="58"/>
      <c r="B112" s="40"/>
      <c r="C112" s="40" t="s">
        <v>47</v>
      </c>
      <c r="D112" s="42"/>
      <c r="E112" s="40"/>
      <c r="F112" s="40"/>
      <c r="G112" s="29"/>
      <c r="H112" s="223">
        <v>2700000</v>
      </c>
      <c r="I112" s="31"/>
      <c r="J112" s="29"/>
      <c r="K112" s="316">
        <f t="shared" ref="K112:K139" si="10">M112+N112+O112+P112</f>
        <v>2700000</v>
      </c>
      <c r="L112" s="31"/>
      <c r="M112" s="224"/>
      <c r="N112" s="225"/>
      <c r="O112" s="225"/>
      <c r="P112" s="226">
        <v>2700000</v>
      </c>
      <c r="Q112" s="155"/>
      <c r="R112" s="155">
        <f t="shared" si="9"/>
        <v>2700000</v>
      </c>
      <c r="S112" s="155"/>
      <c r="T112" s="155"/>
    </row>
    <row r="113" spans="1:20" ht="18" customHeight="1" x14ac:dyDescent="0.15">
      <c r="A113" s="58"/>
      <c r="B113" s="40"/>
      <c r="C113" s="40" t="s">
        <v>146</v>
      </c>
      <c r="D113" s="42"/>
      <c r="E113" s="40"/>
      <c r="F113" s="40"/>
      <c r="G113" s="29"/>
      <c r="H113" s="223">
        <v>0</v>
      </c>
      <c r="I113" s="31"/>
      <c r="J113" s="29"/>
      <c r="K113" s="223">
        <f t="shared" si="10"/>
        <v>0</v>
      </c>
      <c r="L113" s="31"/>
      <c r="M113" s="224"/>
      <c r="N113" s="225"/>
      <c r="O113" s="225"/>
      <c r="P113" s="226">
        <v>0</v>
      </c>
      <c r="Q113" s="155"/>
      <c r="R113" s="155">
        <f t="shared" si="9"/>
        <v>0</v>
      </c>
      <c r="S113" s="155"/>
      <c r="T113" s="155"/>
    </row>
    <row r="114" spans="1:20" ht="18" customHeight="1" x14ac:dyDescent="0.15">
      <c r="A114" s="58"/>
      <c r="B114" s="40"/>
      <c r="C114" s="40" t="s">
        <v>48</v>
      </c>
      <c r="D114" s="42"/>
      <c r="E114" s="40"/>
      <c r="F114" s="40"/>
      <c r="G114" s="29"/>
      <c r="H114" s="223">
        <v>49275</v>
      </c>
      <c r="I114" s="31"/>
      <c r="J114" s="29"/>
      <c r="K114" s="223">
        <f t="shared" si="10"/>
        <v>151763</v>
      </c>
      <c r="L114" s="31"/>
      <c r="M114" s="224"/>
      <c r="N114" s="225"/>
      <c r="O114" s="225"/>
      <c r="P114" s="226">
        <v>151763</v>
      </c>
      <c r="Q114" s="315"/>
      <c r="R114" s="155">
        <f t="shared" si="9"/>
        <v>151763</v>
      </c>
      <c r="S114" s="155"/>
      <c r="T114" s="155"/>
    </row>
    <row r="115" spans="1:20" ht="18" customHeight="1" x14ac:dyDescent="0.15">
      <c r="A115" s="58"/>
      <c r="B115" s="40"/>
      <c r="C115" s="40" t="s">
        <v>49</v>
      </c>
      <c r="D115" s="42"/>
      <c r="E115" s="40"/>
      <c r="F115" s="40"/>
      <c r="G115" s="29"/>
      <c r="H115" s="223">
        <v>390000</v>
      </c>
      <c r="I115" s="31"/>
      <c r="J115" s="29"/>
      <c r="K115" s="223">
        <f t="shared" si="10"/>
        <v>300000</v>
      </c>
      <c r="L115" s="31"/>
      <c r="M115" s="224"/>
      <c r="N115" s="225"/>
      <c r="O115" s="225"/>
      <c r="P115" s="226">
        <v>300000</v>
      </c>
      <c r="Q115" s="155"/>
      <c r="R115" s="155">
        <f t="shared" si="9"/>
        <v>300000</v>
      </c>
      <c r="S115" s="155"/>
      <c r="T115" s="155"/>
    </row>
    <row r="116" spans="1:20" ht="18" customHeight="1" x14ac:dyDescent="0.15">
      <c r="A116" s="58"/>
      <c r="B116" s="40"/>
      <c r="C116" s="40" t="s">
        <v>69</v>
      </c>
      <c r="D116" s="42"/>
      <c r="E116" s="40"/>
      <c r="F116" s="40"/>
      <c r="G116" s="29"/>
      <c r="H116" s="223">
        <v>2590050</v>
      </c>
      <c r="I116" s="31"/>
      <c r="J116" s="29"/>
      <c r="K116" s="223">
        <f t="shared" si="10"/>
        <v>2362000</v>
      </c>
      <c r="L116" s="31"/>
      <c r="M116" s="224"/>
      <c r="N116" s="225"/>
      <c r="O116" s="225"/>
      <c r="P116" s="226">
        <v>2362000</v>
      </c>
      <c r="Q116" s="155"/>
      <c r="R116" s="155">
        <f t="shared" si="9"/>
        <v>2362000</v>
      </c>
      <c r="S116" s="155"/>
      <c r="T116" s="155"/>
    </row>
    <row r="117" spans="1:20" ht="18" customHeight="1" x14ac:dyDescent="0.15">
      <c r="A117" s="58"/>
      <c r="B117" s="40"/>
      <c r="C117" s="40" t="s">
        <v>50</v>
      </c>
      <c r="D117" s="42"/>
      <c r="E117" s="40"/>
      <c r="F117" s="40"/>
      <c r="G117" s="29"/>
      <c r="H117" s="223">
        <v>78150</v>
      </c>
      <c r="I117" s="31"/>
      <c r="J117" s="29"/>
      <c r="K117" s="223">
        <f t="shared" si="10"/>
        <v>78150</v>
      </c>
      <c r="L117" s="31"/>
      <c r="M117" s="224"/>
      <c r="N117" s="225"/>
      <c r="O117" s="225"/>
      <c r="P117" s="226">
        <v>78150</v>
      </c>
      <c r="Q117" s="155"/>
      <c r="R117" s="155">
        <f t="shared" si="9"/>
        <v>78150</v>
      </c>
      <c r="S117" s="155"/>
      <c r="T117" s="155"/>
    </row>
    <row r="118" spans="1:20" ht="18" customHeight="1" x14ac:dyDescent="0.15">
      <c r="A118" s="58"/>
      <c r="B118" s="40"/>
      <c r="C118" s="40" t="s">
        <v>51</v>
      </c>
      <c r="D118" s="42"/>
      <c r="E118" s="40"/>
      <c r="F118" s="40"/>
      <c r="G118" s="29"/>
      <c r="H118" s="223">
        <v>244806</v>
      </c>
      <c r="I118" s="31"/>
      <c r="J118" s="29"/>
      <c r="K118" s="223">
        <f t="shared" si="10"/>
        <v>255750</v>
      </c>
      <c r="L118" s="31"/>
      <c r="M118" s="224"/>
      <c r="N118" s="225"/>
      <c r="O118" s="225"/>
      <c r="P118" s="226">
        <v>255750</v>
      </c>
      <c r="Q118" s="155"/>
      <c r="R118" s="155">
        <f t="shared" si="9"/>
        <v>255750</v>
      </c>
      <c r="S118" s="155"/>
      <c r="T118" s="155"/>
    </row>
    <row r="119" spans="1:20" ht="18" customHeight="1" x14ac:dyDescent="0.15">
      <c r="A119" s="58"/>
      <c r="B119" s="40"/>
      <c r="C119" s="40" t="s">
        <v>52</v>
      </c>
      <c r="D119" s="42"/>
      <c r="E119" s="40"/>
      <c r="F119" s="40"/>
      <c r="G119" s="29"/>
      <c r="H119" s="223">
        <v>66049</v>
      </c>
      <c r="I119" s="31"/>
      <c r="J119" s="29"/>
      <c r="K119" s="223">
        <f t="shared" si="10"/>
        <v>38172</v>
      </c>
      <c r="L119" s="31"/>
      <c r="M119" s="224"/>
      <c r="N119" s="225"/>
      <c r="O119" s="225"/>
      <c r="P119" s="226">
        <v>38172</v>
      </c>
      <c r="Q119" s="155"/>
      <c r="R119" s="155">
        <f t="shared" si="9"/>
        <v>38172</v>
      </c>
      <c r="S119" s="155"/>
      <c r="T119" s="155"/>
    </row>
    <row r="120" spans="1:20" ht="18" customHeight="1" x14ac:dyDescent="0.15">
      <c r="A120" s="58"/>
      <c r="B120" s="40"/>
      <c r="C120" s="40" t="s">
        <v>53</v>
      </c>
      <c r="D120" s="42"/>
      <c r="E120" s="40"/>
      <c r="F120" s="40"/>
      <c r="G120" s="29"/>
      <c r="H120" s="223">
        <v>15000</v>
      </c>
      <c r="I120" s="31"/>
      <c r="J120" s="29"/>
      <c r="K120" s="223">
        <f t="shared" si="10"/>
        <v>15000</v>
      </c>
      <c r="L120" s="31"/>
      <c r="M120" s="224"/>
      <c r="N120" s="225"/>
      <c r="O120" s="225"/>
      <c r="P120" s="226">
        <v>15000</v>
      </c>
      <c r="Q120" s="155"/>
      <c r="R120" s="155">
        <f t="shared" si="9"/>
        <v>15000</v>
      </c>
      <c r="S120" s="155"/>
      <c r="T120" s="155"/>
    </row>
    <row r="121" spans="1:20" ht="18" customHeight="1" x14ac:dyDescent="0.15">
      <c r="A121" s="58"/>
      <c r="B121" s="40"/>
      <c r="C121" s="40" t="s">
        <v>54</v>
      </c>
      <c r="D121" s="42"/>
      <c r="E121" s="40"/>
      <c r="F121" s="40"/>
      <c r="G121" s="29"/>
      <c r="H121" s="223">
        <v>120450</v>
      </c>
      <c r="I121" s="31"/>
      <c r="J121" s="29"/>
      <c r="K121" s="223">
        <f t="shared" si="10"/>
        <v>123000</v>
      </c>
      <c r="L121" s="31"/>
      <c r="M121" s="224"/>
      <c r="N121" s="225"/>
      <c r="O121" s="225"/>
      <c r="P121" s="226">
        <v>123000</v>
      </c>
      <c r="Q121" s="155"/>
      <c r="R121" s="155">
        <f t="shared" si="9"/>
        <v>123000</v>
      </c>
      <c r="S121" s="155"/>
      <c r="T121" s="155"/>
    </row>
    <row r="122" spans="1:20" ht="18" customHeight="1" x14ac:dyDescent="0.15">
      <c r="A122" s="58"/>
      <c r="B122" s="40"/>
      <c r="C122" s="40" t="s">
        <v>55</v>
      </c>
      <c r="D122" s="42"/>
      <c r="E122" s="40"/>
      <c r="F122" s="40"/>
      <c r="G122" s="29"/>
      <c r="H122" s="223">
        <v>15000</v>
      </c>
      <c r="I122" s="31"/>
      <c r="J122" s="29"/>
      <c r="K122" s="223">
        <f t="shared" si="10"/>
        <v>15000</v>
      </c>
      <c r="L122" s="31"/>
      <c r="M122" s="224"/>
      <c r="N122" s="225"/>
      <c r="O122" s="225"/>
      <c r="P122" s="226">
        <v>15000</v>
      </c>
      <c r="Q122" s="155"/>
      <c r="R122" s="155">
        <f t="shared" si="9"/>
        <v>15000</v>
      </c>
      <c r="S122" s="155"/>
      <c r="T122" s="155"/>
    </row>
    <row r="123" spans="1:20" ht="18" customHeight="1" x14ac:dyDescent="0.15">
      <c r="A123" s="58"/>
      <c r="B123" s="40"/>
      <c r="C123" s="40" t="s">
        <v>56</v>
      </c>
      <c r="D123" s="42"/>
      <c r="E123" s="40"/>
      <c r="F123" s="40"/>
      <c r="G123" s="29"/>
      <c r="H123" s="223">
        <v>84900</v>
      </c>
      <c r="I123" s="31"/>
      <c r="J123" s="29"/>
      <c r="K123" s="223">
        <f t="shared" si="10"/>
        <v>99900</v>
      </c>
      <c r="L123" s="31"/>
      <c r="M123" s="224"/>
      <c r="N123" s="225"/>
      <c r="O123" s="225"/>
      <c r="P123" s="226">
        <v>99900</v>
      </c>
      <c r="Q123" s="155"/>
      <c r="R123" s="155">
        <f t="shared" si="9"/>
        <v>99900</v>
      </c>
      <c r="S123" s="155"/>
      <c r="T123" s="155"/>
    </row>
    <row r="124" spans="1:20" ht="18" customHeight="1" x14ac:dyDescent="0.15">
      <c r="A124" s="58"/>
      <c r="B124" s="40"/>
      <c r="C124" s="40" t="s">
        <v>57</v>
      </c>
      <c r="D124" s="42"/>
      <c r="E124" s="40"/>
      <c r="F124" s="40"/>
      <c r="G124" s="29"/>
      <c r="H124" s="223">
        <v>0</v>
      </c>
      <c r="I124" s="31"/>
      <c r="J124" s="29"/>
      <c r="K124" s="223">
        <f t="shared" si="10"/>
        <v>0</v>
      </c>
      <c r="L124" s="31"/>
      <c r="M124" s="224"/>
      <c r="N124" s="225"/>
      <c r="O124" s="225"/>
      <c r="P124" s="226">
        <v>0</v>
      </c>
      <c r="Q124" s="155"/>
      <c r="R124" s="155">
        <f t="shared" si="9"/>
        <v>0</v>
      </c>
      <c r="S124" s="155"/>
      <c r="T124" s="155"/>
    </row>
    <row r="125" spans="1:20" ht="18" customHeight="1" x14ac:dyDescent="0.15">
      <c r="A125" s="58"/>
      <c r="B125" s="40"/>
      <c r="C125" s="40" t="s">
        <v>58</v>
      </c>
      <c r="D125" s="42"/>
      <c r="E125" s="40"/>
      <c r="F125" s="40"/>
      <c r="G125" s="29"/>
      <c r="H125" s="223">
        <v>60000</v>
      </c>
      <c r="I125" s="31"/>
      <c r="J125" s="29"/>
      <c r="K125" s="223">
        <f t="shared" si="10"/>
        <v>60000</v>
      </c>
      <c r="L125" s="31"/>
      <c r="M125" s="224"/>
      <c r="N125" s="225"/>
      <c r="O125" s="225"/>
      <c r="P125" s="226">
        <v>60000</v>
      </c>
      <c r="Q125" s="155"/>
      <c r="R125" s="155">
        <f t="shared" si="9"/>
        <v>60000</v>
      </c>
      <c r="S125" s="155"/>
      <c r="T125" s="155"/>
    </row>
    <row r="126" spans="1:20" ht="18" customHeight="1" x14ac:dyDescent="0.15">
      <c r="A126" s="58"/>
      <c r="B126" s="40"/>
      <c r="C126" s="40" t="s">
        <v>59</v>
      </c>
      <c r="D126" s="42"/>
      <c r="E126" s="40"/>
      <c r="F126" s="40"/>
      <c r="G126" s="29"/>
      <c r="H126" s="223">
        <v>825000</v>
      </c>
      <c r="I126" s="31"/>
      <c r="J126" s="29"/>
      <c r="K126" s="223">
        <f t="shared" si="10"/>
        <v>825000</v>
      </c>
      <c r="L126" s="31"/>
      <c r="M126" s="224"/>
      <c r="N126" s="225"/>
      <c r="O126" s="225"/>
      <c r="P126" s="226">
        <v>825000</v>
      </c>
      <c r="Q126" s="155"/>
      <c r="R126" s="155">
        <f t="shared" si="9"/>
        <v>825000</v>
      </c>
      <c r="S126" s="155"/>
      <c r="T126" s="155"/>
    </row>
    <row r="127" spans="1:20" ht="18" customHeight="1" x14ac:dyDescent="0.15">
      <c r="A127" s="58"/>
      <c r="B127" s="40"/>
      <c r="C127" s="40" t="s">
        <v>60</v>
      </c>
      <c r="D127" s="42"/>
      <c r="E127" s="40"/>
      <c r="F127" s="40"/>
      <c r="G127" s="29"/>
      <c r="H127" s="223">
        <v>30000</v>
      </c>
      <c r="I127" s="31"/>
      <c r="J127" s="29"/>
      <c r="K127" s="223">
        <f t="shared" si="10"/>
        <v>30000</v>
      </c>
      <c r="L127" s="31"/>
      <c r="M127" s="224"/>
      <c r="N127" s="225"/>
      <c r="O127" s="225"/>
      <c r="P127" s="226">
        <v>30000</v>
      </c>
      <c r="Q127" s="155"/>
      <c r="R127" s="155">
        <f t="shared" si="9"/>
        <v>30000</v>
      </c>
      <c r="S127" s="155"/>
      <c r="T127" s="155"/>
    </row>
    <row r="128" spans="1:20" ht="18" customHeight="1" x14ac:dyDescent="0.15">
      <c r="A128" s="58"/>
      <c r="B128" s="40"/>
      <c r="C128" s="40" t="s">
        <v>61</v>
      </c>
      <c r="D128" s="42"/>
      <c r="E128" s="40"/>
      <c r="F128" s="40"/>
      <c r="G128" s="29"/>
      <c r="H128" s="223">
        <v>24000</v>
      </c>
      <c r="I128" s="31"/>
      <c r="J128" s="29"/>
      <c r="K128" s="223">
        <f>M128+N128+O128+P128</f>
        <v>24000</v>
      </c>
      <c r="L128" s="31"/>
      <c r="M128" s="224"/>
      <c r="N128" s="225"/>
      <c r="O128" s="225"/>
      <c r="P128" s="226">
        <v>24000</v>
      </c>
      <c r="Q128" s="155"/>
      <c r="R128" s="155">
        <f t="shared" si="9"/>
        <v>24000</v>
      </c>
      <c r="S128" s="155"/>
      <c r="T128" s="155"/>
    </row>
    <row r="129" spans="1:20" ht="18" customHeight="1" x14ac:dyDescent="0.15">
      <c r="A129" s="58"/>
      <c r="B129" s="40"/>
      <c r="C129" s="40" t="s">
        <v>62</v>
      </c>
      <c r="D129" s="42"/>
      <c r="E129" s="40"/>
      <c r="F129" s="40"/>
      <c r="G129" s="29"/>
      <c r="H129" s="223">
        <v>154500</v>
      </c>
      <c r="I129" s="31"/>
      <c r="J129" s="29"/>
      <c r="K129" s="223">
        <f t="shared" si="10"/>
        <v>154500</v>
      </c>
      <c r="L129" s="31"/>
      <c r="M129" s="224"/>
      <c r="N129" s="225"/>
      <c r="O129" s="225"/>
      <c r="P129" s="226">
        <v>154500</v>
      </c>
      <c r="Q129" s="155"/>
      <c r="R129" s="155">
        <f t="shared" si="9"/>
        <v>154500</v>
      </c>
      <c r="S129" s="155"/>
      <c r="T129" s="155"/>
    </row>
    <row r="130" spans="1:20" ht="18" customHeight="1" x14ac:dyDescent="0.15">
      <c r="A130" s="58"/>
      <c r="B130" s="40"/>
      <c r="C130" s="40" t="s">
        <v>70</v>
      </c>
      <c r="D130" s="42"/>
      <c r="E130" s="40"/>
      <c r="F130" s="40"/>
      <c r="G130" s="29"/>
      <c r="H130" s="223">
        <v>540000</v>
      </c>
      <c r="I130" s="31"/>
      <c r="J130" s="29"/>
      <c r="K130" s="223">
        <f t="shared" si="10"/>
        <v>610000</v>
      </c>
      <c r="L130" s="31"/>
      <c r="M130" s="224"/>
      <c r="N130" s="225"/>
      <c r="O130" s="225"/>
      <c r="P130" s="226">
        <v>610000</v>
      </c>
      <c r="Q130" s="155"/>
      <c r="R130" s="155">
        <f t="shared" si="9"/>
        <v>610000</v>
      </c>
      <c r="S130" s="155"/>
      <c r="T130" s="155"/>
    </row>
    <row r="131" spans="1:20" ht="18" customHeight="1" x14ac:dyDescent="0.15">
      <c r="A131" s="58"/>
      <c r="B131" s="40"/>
      <c r="C131" s="40" t="s">
        <v>71</v>
      </c>
      <c r="D131" s="42"/>
      <c r="E131" s="40"/>
      <c r="F131" s="40"/>
      <c r="G131" s="29"/>
      <c r="H131" s="223">
        <v>1100000</v>
      </c>
      <c r="I131" s="31"/>
      <c r="J131" s="29"/>
      <c r="K131" s="223">
        <f t="shared" si="10"/>
        <v>600000</v>
      </c>
      <c r="L131" s="31"/>
      <c r="M131" s="224"/>
      <c r="N131" s="225"/>
      <c r="O131" s="225"/>
      <c r="P131" s="226">
        <v>600000</v>
      </c>
      <c r="Q131" s="155"/>
      <c r="R131" s="155">
        <f t="shared" si="9"/>
        <v>600000</v>
      </c>
      <c r="S131" s="155"/>
      <c r="T131" s="155"/>
    </row>
    <row r="132" spans="1:20" ht="18" customHeight="1" x14ac:dyDescent="0.15">
      <c r="A132" s="58"/>
      <c r="B132" s="40"/>
      <c r="C132" s="40" t="s">
        <v>63</v>
      </c>
      <c r="D132" s="42"/>
      <c r="E132" s="40"/>
      <c r="F132" s="40"/>
      <c r="G132" s="29"/>
      <c r="H132" s="223">
        <v>135000</v>
      </c>
      <c r="I132" s="31"/>
      <c r="J132" s="29"/>
      <c r="K132" s="223">
        <f t="shared" si="10"/>
        <v>135000</v>
      </c>
      <c r="L132" s="31"/>
      <c r="M132" s="224"/>
      <c r="N132" s="225"/>
      <c r="O132" s="225"/>
      <c r="P132" s="226">
        <v>135000</v>
      </c>
      <c r="Q132" s="155"/>
      <c r="R132" s="155">
        <f t="shared" si="9"/>
        <v>135000</v>
      </c>
      <c r="S132" s="155"/>
      <c r="T132" s="155"/>
    </row>
    <row r="133" spans="1:20" ht="18" customHeight="1" x14ac:dyDescent="0.15">
      <c r="A133" s="58"/>
      <c r="B133" s="40"/>
      <c r="C133" s="40" t="s">
        <v>72</v>
      </c>
      <c r="D133" s="42"/>
      <c r="E133" s="40"/>
      <c r="F133" s="40"/>
      <c r="G133" s="29"/>
      <c r="H133" s="223">
        <v>580000</v>
      </c>
      <c r="I133" s="31"/>
      <c r="J133" s="29"/>
      <c r="K133" s="223">
        <f t="shared" si="10"/>
        <v>580000</v>
      </c>
      <c r="L133" s="31"/>
      <c r="M133" s="224"/>
      <c r="N133" s="225"/>
      <c r="O133" s="225"/>
      <c r="P133" s="226">
        <v>580000</v>
      </c>
      <c r="Q133" s="155"/>
      <c r="R133" s="155">
        <f t="shared" si="9"/>
        <v>580000</v>
      </c>
      <c r="S133" s="155"/>
      <c r="T133" s="155"/>
    </row>
    <row r="134" spans="1:20" ht="18" customHeight="1" x14ac:dyDescent="0.15">
      <c r="A134" s="58"/>
      <c r="B134" s="40"/>
      <c r="C134" s="40" t="s">
        <v>64</v>
      </c>
      <c r="D134" s="42"/>
      <c r="E134" s="40"/>
      <c r="F134" s="40"/>
      <c r="G134" s="29"/>
      <c r="H134" s="223">
        <v>7500</v>
      </c>
      <c r="I134" s="31"/>
      <c r="J134" s="29"/>
      <c r="K134" s="223">
        <f t="shared" si="10"/>
        <v>7500</v>
      </c>
      <c r="L134" s="31"/>
      <c r="M134" s="224"/>
      <c r="N134" s="225"/>
      <c r="O134" s="225"/>
      <c r="P134" s="226">
        <v>7500</v>
      </c>
      <c r="Q134" s="155"/>
      <c r="S134" s="155">
        <v>76804800</v>
      </c>
      <c r="T134" s="155" t="s">
        <v>203</v>
      </c>
    </row>
    <row r="135" spans="1:20" ht="18" customHeight="1" x14ac:dyDescent="0.15">
      <c r="A135" s="58"/>
      <c r="B135" s="40"/>
      <c r="C135" s="40" t="s">
        <v>65</v>
      </c>
      <c r="D135" s="42"/>
      <c r="E135" s="40"/>
      <c r="F135" s="40"/>
      <c r="G135" s="29"/>
      <c r="H135" s="223">
        <v>90000</v>
      </c>
      <c r="I135" s="31"/>
      <c r="J135" s="29"/>
      <c r="K135" s="223">
        <f>M135+N135+O135+P135</f>
        <v>90000</v>
      </c>
      <c r="L135" s="31"/>
      <c r="M135" s="224"/>
      <c r="N135" s="225"/>
      <c r="O135" s="225"/>
      <c r="P135" s="226">
        <v>90000</v>
      </c>
      <c r="Q135" s="155"/>
      <c r="R135" s="294" t="s">
        <v>202</v>
      </c>
      <c r="S135" s="155">
        <f>S134-K35</f>
        <v>1842000</v>
      </c>
      <c r="T135" s="155"/>
    </row>
    <row r="136" spans="1:20" ht="18" customHeight="1" x14ac:dyDescent="0.15">
      <c r="A136" s="58"/>
      <c r="B136" s="40"/>
      <c r="C136" s="40" t="s">
        <v>66</v>
      </c>
      <c r="D136" s="42"/>
      <c r="E136" s="40"/>
      <c r="F136" s="40"/>
      <c r="G136" s="29"/>
      <c r="H136" s="223">
        <v>82800</v>
      </c>
      <c r="I136" s="31"/>
      <c r="J136" s="29"/>
      <c r="K136" s="223">
        <v>91000</v>
      </c>
      <c r="L136" s="31"/>
      <c r="M136" s="224"/>
      <c r="N136" s="225"/>
      <c r="O136" s="225"/>
      <c r="P136" s="226">
        <v>79800</v>
      </c>
      <c r="Q136" s="155"/>
      <c r="S136" s="155"/>
      <c r="T136" s="155"/>
    </row>
    <row r="137" spans="1:20" ht="18" customHeight="1" x14ac:dyDescent="0.15">
      <c r="A137" s="58"/>
      <c r="B137" s="295"/>
      <c r="C137" s="56" t="s">
        <v>100</v>
      </c>
      <c r="D137" s="57"/>
      <c r="E137" s="56"/>
      <c r="F137" s="56"/>
      <c r="G137" s="29"/>
      <c r="H137" s="227">
        <v>45000</v>
      </c>
      <c r="I137" s="31"/>
      <c r="J137" s="29"/>
      <c r="K137" s="223">
        <f t="shared" si="10"/>
        <v>45000</v>
      </c>
      <c r="L137" s="31"/>
      <c r="M137" s="224"/>
      <c r="N137" s="225"/>
      <c r="O137" s="225"/>
      <c r="P137" s="226">
        <v>45000</v>
      </c>
      <c r="Q137" s="155"/>
      <c r="S137" s="155"/>
      <c r="T137" s="155"/>
    </row>
    <row r="138" spans="1:20" ht="18" customHeight="1" x14ac:dyDescent="0.15">
      <c r="A138" s="58"/>
      <c r="B138" s="56"/>
      <c r="C138" s="56" t="s">
        <v>67</v>
      </c>
      <c r="D138" s="57"/>
      <c r="E138" s="56"/>
      <c r="F138" s="56"/>
      <c r="G138" s="29"/>
      <c r="H138" s="223">
        <v>41334</v>
      </c>
      <c r="I138" s="31"/>
      <c r="J138" s="29"/>
      <c r="K138" s="223">
        <f t="shared" si="10"/>
        <v>36150</v>
      </c>
      <c r="L138" s="31"/>
      <c r="M138" s="224"/>
      <c r="N138" s="225"/>
      <c r="O138" s="225"/>
      <c r="P138" s="226">
        <v>36150</v>
      </c>
      <c r="Q138" s="155"/>
      <c r="S138" s="155"/>
      <c r="T138" s="155"/>
    </row>
    <row r="139" spans="1:20" ht="18" customHeight="1" x14ac:dyDescent="0.15">
      <c r="A139" s="75"/>
      <c r="B139" s="228"/>
      <c r="C139" s="228" t="s">
        <v>101</v>
      </c>
      <c r="D139" s="229"/>
      <c r="E139" s="228"/>
      <c r="F139" s="230"/>
      <c r="G139" s="49"/>
      <c r="H139" s="227">
        <v>20700</v>
      </c>
      <c r="I139" s="50"/>
      <c r="J139" s="49"/>
      <c r="K139" s="223">
        <f t="shared" si="10"/>
        <v>0</v>
      </c>
      <c r="L139" s="50"/>
      <c r="M139" s="231"/>
      <c r="N139" s="232"/>
      <c r="O139" s="232"/>
      <c r="P139" s="258"/>
      <c r="Q139" s="155"/>
      <c r="S139" s="155"/>
      <c r="T139" s="155"/>
    </row>
    <row r="140" spans="1:20" ht="18" customHeight="1" x14ac:dyDescent="0.15">
      <c r="A140" s="63"/>
      <c r="B140" s="65" t="s">
        <v>73</v>
      </c>
      <c r="C140" s="80"/>
      <c r="D140" s="64"/>
      <c r="E140" s="65"/>
      <c r="F140" s="65"/>
      <c r="G140" s="81"/>
      <c r="H140" s="233">
        <f>SUM(H37,H86,H111)</f>
        <v>78032558</v>
      </c>
      <c r="I140" s="83"/>
      <c r="J140" s="81"/>
      <c r="K140" s="233">
        <f>SUM(K37,K86,K111)</f>
        <v>84204080</v>
      </c>
      <c r="L140" s="83"/>
      <c r="M140" s="234">
        <f>SUM(M38:M139)</f>
        <v>49737786</v>
      </c>
      <c r="N140" s="235">
        <f>SUM(N38:N139)</f>
        <v>1132737</v>
      </c>
      <c r="O140" s="235">
        <f>SUM(O38:O139)</f>
        <v>23906672</v>
      </c>
      <c r="P140" s="236">
        <f>SUM(P38:P139)</f>
        <v>9415685</v>
      </c>
      <c r="Q140" s="155"/>
      <c r="S140" s="155">
        <v>82204080</v>
      </c>
      <c r="T140" s="155" t="s">
        <v>203</v>
      </c>
    </row>
    <row r="141" spans="1:20" ht="18" customHeight="1" thickBot="1" x14ac:dyDescent="0.2">
      <c r="A141" s="88"/>
      <c r="B141" s="89" t="s">
        <v>74</v>
      </c>
      <c r="C141" s="90"/>
      <c r="D141" s="91"/>
      <c r="E141" s="89"/>
      <c r="F141" s="89"/>
      <c r="G141" s="92"/>
      <c r="H141" s="237">
        <f>H35-H140</f>
        <v>-3314578</v>
      </c>
      <c r="I141" s="94"/>
      <c r="J141" s="92"/>
      <c r="K141" s="237">
        <f>K35-K140</f>
        <v>-9241280</v>
      </c>
      <c r="L141" s="94"/>
      <c r="M141" s="238">
        <f>M35-M140</f>
        <v>2072614</v>
      </c>
      <c r="N141" s="239">
        <f>N35-N140</f>
        <v>517263</v>
      </c>
      <c r="O141" s="239">
        <f>O35-O140</f>
        <v>-11766272</v>
      </c>
      <c r="P141" s="240">
        <f>P35-P140</f>
        <v>-53685</v>
      </c>
      <c r="Q141" s="158"/>
      <c r="R141" s="294" t="s">
        <v>201</v>
      </c>
      <c r="S141" s="158">
        <f>S140-K140</f>
        <v>-2000000</v>
      </c>
      <c r="T141" s="158"/>
    </row>
    <row r="142" spans="1:20" ht="18" customHeight="1" x14ac:dyDescent="0.15">
      <c r="A142" s="100"/>
      <c r="B142" s="101"/>
      <c r="C142" s="102"/>
      <c r="D142" s="103"/>
      <c r="E142" s="101"/>
      <c r="F142" s="101"/>
      <c r="G142" s="104"/>
      <c r="H142" s="241"/>
      <c r="I142" s="106"/>
      <c r="J142" s="104"/>
      <c r="K142" s="242"/>
      <c r="L142" s="106"/>
      <c r="M142" s="243"/>
      <c r="N142" s="244"/>
      <c r="O142" s="244"/>
      <c r="P142" s="236"/>
      <c r="Q142" s="155"/>
      <c r="S142" s="155"/>
      <c r="T142" s="155"/>
    </row>
    <row r="143" spans="1:20" ht="18" customHeight="1" x14ac:dyDescent="0.15">
      <c r="A143" s="245"/>
      <c r="B143" s="384" t="s">
        <v>75</v>
      </c>
      <c r="C143" s="384"/>
      <c r="D143" s="384"/>
      <c r="E143" s="384"/>
      <c r="F143" s="385"/>
      <c r="G143" s="117"/>
      <c r="H143" s="246">
        <f>H141</f>
        <v>-3314578</v>
      </c>
      <c r="I143" s="247"/>
      <c r="J143" s="248"/>
      <c r="K143" s="246">
        <f>K141</f>
        <v>-9241280</v>
      </c>
      <c r="L143" s="83"/>
      <c r="M143" s="249"/>
      <c r="N143" s="250"/>
      <c r="O143" s="250"/>
      <c r="P143" s="251"/>
      <c r="Q143" s="159"/>
      <c r="S143" s="159"/>
      <c r="T143" s="159"/>
    </row>
    <row r="144" spans="1:20" ht="18" customHeight="1" x14ac:dyDescent="0.15">
      <c r="A144" s="245"/>
      <c r="B144" s="160" t="s">
        <v>76</v>
      </c>
      <c r="C144" s="252"/>
      <c r="D144" s="252"/>
      <c r="E144" s="252"/>
      <c r="F144" s="116"/>
      <c r="G144" s="117"/>
      <c r="H144" s="233">
        <v>69224790</v>
      </c>
      <c r="I144" s="247"/>
      <c r="J144" s="248"/>
      <c r="K144" s="253"/>
      <c r="L144" s="83"/>
      <c r="M144" s="249"/>
      <c r="N144" s="250"/>
      <c r="O144" s="250"/>
      <c r="P144" s="251"/>
      <c r="Q144" s="155"/>
      <c r="S144" s="155"/>
      <c r="T144" s="155"/>
    </row>
    <row r="145" spans="1:20" ht="18" customHeight="1" x14ac:dyDescent="0.15">
      <c r="A145" s="245"/>
      <c r="B145" s="160" t="s">
        <v>77</v>
      </c>
      <c r="C145" s="252"/>
      <c r="D145" s="252"/>
      <c r="E145" s="252"/>
      <c r="F145" s="116"/>
      <c r="G145" s="117"/>
      <c r="H145" s="233">
        <f>SUM(H143:H144)</f>
        <v>65910212</v>
      </c>
      <c r="I145" s="247"/>
      <c r="J145" s="248"/>
      <c r="K145" s="233"/>
      <c r="L145" s="83"/>
      <c r="M145" s="249"/>
      <c r="N145" s="250"/>
      <c r="O145" s="250"/>
      <c r="P145" s="251"/>
      <c r="Q145" s="161"/>
      <c r="S145" s="161"/>
      <c r="T145" s="161"/>
    </row>
    <row r="146" spans="1:20" ht="18" customHeight="1" thickBot="1" x14ac:dyDescent="0.2">
      <c r="A146" s="162" t="s">
        <v>78</v>
      </c>
      <c r="B146" s="163"/>
      <c r="C146" s="164"/>
      <c r="D146" s="164"/>
      <c r="E146" s="164"/>
      <c r="F146" s="128"/>
      <c r="G146" s="129"/>
      <c r="H146" s="130">
        <f>H145</f>
        <v>65910212</v>
      </c>
      <c r="I146" s="131"/>
      <c r="J146" s="132"/>
      <c r="K146" s="130"/>
      <c r="L146" s="94"/>
      <c r="M146" s="165"/>
      <c r="N146" s="136"/>
      <c r="O146" s="136"/>
      <c r="P146" s="137"/>
      <c r="Q146" s="138"/>
    </row>
    <row r="147" spans="1:20" ht="20.25" customHeight="1" x14ac:dyDescent="0.15">
      <c r="A147" s="2" t="s">
        <v>81</v>
      </c>
      <c r="B147" s="2"/>
      <c r="C147" s="166"/>
      <c r="D147" s="166"/>
      <c r="K147" s="3"/>
    </row>
    <row r="148" spans="1:20" s="4" customFormat="1" ht="21.75" customHeight="1" x14ac:dyDescent="0.15">
      <c r="A148" s="2" t="s">
        <v>99</v>
      </c>
      <c r="B148" s="2"/>
      <c r="C148" s="166"/>
      <c r="D148" s="166"/>
      <c r="E148" s="2"/>
      <c r="F148" s="2"/>
      <c r="G148" s="2"/>
      <c r="H148" s="2"/>
      <c r="I148" s="2"/>
      <c r="J148" s="2"/>
      <c r="K148" s="3"/>
      <c r="L148" s="2"/>
      <c r="M148" s="167"/>
      <c r="N148" s="167"/>
      <c r="O148" s="167"/>
      <c r="P148" s="167"/>
    </row>
    <row r="149" spans="1:20" s="4" customFormat="1" ht="17.25" customHeight="1" x14ac:dyDescent="0.15">
      <c r="A149" s="364" t="s">
        <v>84</v>
      </c>
      <c r="B149" s="364"/>
      <c r="C149" s="364"/>
      <c r="D149" s="364"/>
      <c r="E149" s="364"/>
      <c r="F149" s="185"/>
      <c r="G149" s="365">
        <f>M140</f>
        <v>49737786</v>
      </c>
      <c r="H149" s="365"/>
      <c r="I149" s="2" t="s">
        <v>86</v>
      </c>
      <c r="J149" s="2"/>
      <c r="K149" s="3">
        <f>K140</f>
        <v>84204080</v>
      </c>
      <c r="L149" s="2"/>
      <c r="M149" s="186" t="s">
        <v>85</v>
      </c>
      <c r="N149" s="187">
        <f>M140/K140</f>
        <v>0.59068142541311541</v>
      </c>
    </row>
    <row r="150" spans="1:20" s="4" customFormat="1" ht="17.25" customHeight="1" x14ac:dyDescent="0.15">
      <c r="A150" s="2"/>
      <c r="B150" s="1"/>
      <c r="C150" s="1"/>
      <c r="D150" s="1"/>
      <c r="E150" s="2"/>
      <c r="F150" s="2"/>
      <c r="G150" s="2"/>
      <c r="H150" s="2"/>
      <c r="I150" s="2"/>
      <c r="J150" s="2"/>
      <c r="K150" s="2"/>
      <c r="L150" s="2"/>
    </row>
  </sheetData>
  <mergeCells count="23">
    <mergeCell ref="C52:E52"/>
    <mergeCell ref="A1:P1"/>
    <mergeCell ref="A2:P2"/>
    <mergeCell ref="A3:G3"/>
    <mergeCell ref="A4:F5"/>
    <mergeCell ref="G4:I5"/>
    <mergeCell ref="J4:L5"/>
    <mergeCell ref="M4:M5"/>
    <mergeCell ref="N4:O4"/>
    <mergeCell ref="P4:P5"/>
    <mergeCell ref="A6:F6"/>
    <mergeCell ref="C24:F24"/>
    <mergeCell ref="C26:F26"/>
    <mergeCell ref="B38:F38"/>
    <mergeCell ref="B51:F51"/>
    <mergeCell ref="A149:E149"/>
    <mergeCell ref="G149:H149"/>
    <mergeCell ref="C55:E55"/>
    <mergeCell ref="B60:F60"/>
    <mergeCell ref="B73:F73"/>
    <mergeCell ref="B75:F75"/>
    <mergeCell ref="C82:E82"/>
    <mergeCell ref="B143:F143"/>
  </mergeCells>
  <phoneticPr fontId="2"/>
  <printOptions horizontalCentered="1"/>
  <pageMargins left="0.35433070866141736" right="0.19685039370078741" top="0.47244094488188981" bottom="0.39370078740157483" header="0.55118110236220474" footer="0.39370078740157483"/>
  <pageSetup paperSize="9" scale="86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F79D-E7E7-45FF-9403-EA090B7A5406}">
  <sheetPr>
    <tabColor rgb="FF0070C0"/>
    <pageSetUpPr fitToPage="1"/>
  </sheetPr>
  <dimension ref="A1:U151"/>
  <sheetViews>
    <sheetView tabSelected="1" zoomScaleNormal="100" workbookViewId="0">
      <pane xSplit="10" ySplit="5" topLeftCell="K133" activePane="bottomRight" state="frozen"/>
      <selection activeCell="K90" activeCellId="1" sqref="K56 K90"/>
      <selection pane="topRight" activeCell="K90" activeCellId="1" sqref="K56 K90"/>
      <selection pane="bottomLeft" activeCell="K90" activeCellId="1" sqref="K56 K90"/>
      <selection pane="bottomRight" activeCell="M68" sqref="M68"/>
    </sheetView>
  </sheetViews>
  <sheetFormatPr defaultRowHeight="13.5" x14ac:dyDescent="0.15"/>
  <cols>
    <col min="1" max="1" width="1.5" style="1" customWidth="1"/>
    <col min="2" max="2" width="2.125" style="1" customWidth="1"/>
    <col min="3" max="3" width="2.5" style="1" customWidth="1"/>
    <col min="4" max="4" width="1.625" style="1" customWidth="1"/>
    <col min="5" max="5" width="6.625" style="2" customWidth="1"/>
    <col min="6" max="6" width="7.625" style="2" customWidth="1"/>
    <col min="7" max="7" width="1.75" style="2" customWidth="1"/>
    <col min="8" max="8" width="14.625" style="2" customWidth="1"/>
    <col min="9" max="10" width="1.5" style="2" customWidth="1"/>
    <col min="11" max="11" width="14.625" style="2" customWidth="1"/>
    <col min="12" max="12" width="1.5" style="2" customWidth="1"/>
    <col min="13" max="16" width="14.625" style="4" customWidth="1"/>
    <col min="17" max="17" width="10.25" style="4" hidden="1" customWidth="1"/>
    <col min="18" max="18" width="9.25" style="4" hidden="1" customWidth="1"/>
    <col min="19" max="19" width="10.5" style="4" hidden="1" customWidth="1"/>
    <col min="20" max="20" width="10" style="4" hidden="1" customWidth="1"/>
    <col min="21" max="21" width="9.5" style="1" hidden="1" customWidth="1"/>
    <col min="22" max="256" width="9" style="1"/>
    <col min="257" max="257" width="1.5" style="1" customWidth="1"/>
    <col min="258" max="258" width="2.125" style="1" customWidth="1"/>
    <col min="259" max="259" width="2.5" style="1" customWidth="1"/>
    <col min="260" max="260" width="1.625" style="1" customWidth="1"/>
    <col min="261" max="261" width="6.625" style="1" customWidth="1"/>
    <col min="262" max="262" width="7.625" style="1" customWidth="1"/>
    <col min="263" max="263" width="1.75" style="1" customWidth="1"/>
    <col min="264" max="264" width="12.25" style="1" customWidth="1"/>
    <col min="265" max="266" width="1.5" style="1" customWidth="1"/>
    <col min="267" max="267" width="12.25" style="1" customWidth="1"/>
    <col min="268" max="268" width="1.5" style="1" customWidth="1"/>
    <col min="269" max="269" width="13.25" style="1" customWidth="1"/>
    <col min="270" max="272" width="12.25" style="1" customWidth="1"/>
    <col min="273" max="273" width="10.25" style="1" bestFit="1" customWidth="1"/>
    <col min="274" max="274" width="9.25" style="1" bestFit="1" customWidth="1"/>
    <col min="275" max="275" width="10.5" style="1" bestFit="1" customWidth="1"/>
    <col min="276" max="276" width="10" style="1" bestFit="1" customWidth="1"/>
    <col min="277" max="512" width="9" style="1"/>
    <col min="513" max="513" width="1.5" style="1" customWidth="1"/>
    <col min="514" max="514" width="2.125" style="1" customWidth="1"/>
    <col min="515" max="515" width="2.5" style="1" customWidth="1"/>
    <col min="516" max="516" width="1.625" style="1" customWidth="1"/>
    <col min="517" max="517" width="6.625" style="1" customWidth="1"/>
    <col min="518" max="518" width="7.625" style="1" customWidth="1"/>
    <col min="519" max="519" width="1.75" style="1" customWidth="1"/>
    <col min="520" max="520" width="12.25" style="1" customWidth="1"/>
    <col min="521" max="522" width="1.5" style="1" customWidth="1"/>
    <col min="523" max="523" width="12.25" style="1" customWidth="1"/>
    <col min="524" max="524" width="1.5" style="1" customWidth="1"/>
    <col min="525" max="525" width="13.25" style="1" customWidth="1"/>
    <col min="526" max="528" width="12.25" style="1" customWidth="1"/>
    <col min="529" max="529" width="10.25" style="1" bestFit="1" customWidth="1"/>
    <col min="530" max="530" width="9.25" style="1" bestFit="1" customWidth="1"/>
    <col min="531" max="531" width="10.5" style="1" bestFit="1" customWidth="1"/>
    <col min="532" max="532" width="10" style="1" bestFit="1" customWidth="1"/>
    <col min="533" max="768" width="9" style="1"/>
    <col min="769" max="769" width="1.5" style="1" customWidth="1"/>
    <col min="770" max="770" width="2.125" style="1" customWidth="1"/>
    <col min="771" max="771" width="2.5" style="1" customWidth="1"/>
    <col min="772" max="772" width="1.625" style="1" customWidth="1"/>
    <col min="773" max="773" width="6.625" style="1" customWidth="1"/>
    <col min="774" max="774" width="7.625" style="1" customWidth="1"/>
    <col min="775" max="775" width="1.75" style="1" customWidth="1"/>
    <col min="776" max="776" width="12.25" style="1" customWidth="1"/>
    <col min="777" max="778" width="1.5" style="1" customWidth="1"/>
    <col min="779" max="779" width="12.25" style="1" customWidth="1"/>
    <col min="780" max="780" width="1.5" style="1" customWidth="1"/>
    <col min="781" max="781" width="13.25" style="1" customWidth="1"/>
    <col min="782" max="784" width="12.25" style="1" customWidth="1"/>
    <col min="785" max="785" width="10.25" style="1" bestFit="1" customWidth="1"/>
    <col min="786" max="786" width="9.25" style="1" bestFit="1" customWidth="1"/>
    <col min="787" max="787" width="10.5" style="1" bestFit="1" customWidth="1"/>
    <col min="788" max="788" width="10" style="1" bestFit="1" customWidth="1"/>
    <col min="789" max="1024" width="9" style="1"/>
    <col min="1025" max="1025" width="1.5" style="1" customWidth="1"/>
    <col min="1026" max="1026" width="2.125" style="1" customWidth="1"/>
    <col min="1027" max="1027" width="2.5" style="1" customWidth="1"/>
    <col min="1028" max="1028" width="1.625" style="1" customWidth="1"/>
    <col min="1029" max="1029" width="6.625" style="1" customWidth="1"/>
    <col min="1030" max="1030" width="7.625" style="1" customWidth="1"/>
    <col min="1031" max="1031" width="1.75" style="1" customWidth="1"/>
    <col min="1032" max="1032" width="12.25" style="1" customWidth="1"/>
    <col min="1033" max="1034" width="1.5" style="1" customWidth="1"/>
    <col min="1035" max="1035" width="12.25" style="1" customWidth="1"/>
    <col min="1036" max="1036" width="1.5" style="1" customWidth="1"/>
    <col min="1037" max="1037" width="13.25" style="1" customWidth="1"/>
    <col min="1038" max="1040" width="12.25" style="1" customWidth="1"/>
    <col min="1041" max="1041" width="10.25" style="1" bestFit="1" customWidth="1"/>
    <col min="1042" max="1042" width="9.25" style="1" bestFit="1" customWidth="1"/>
    <col min="1043" max="1043" width="10.5" style="1" bestFit="1" customWidth="1"/>
    <col min="1044" max="1044" width="10" style="1" bestFit="1" customWidth="1"/>
    <col min="1045" max="1280" width="9" style="1"/>
    <col min="1281" max="1281" width="1.5" style="1" customWidth="1"/>
    <col min="1282" max="1282" width="2.125" style="1" customWidth="1"/>
    <col min="1283" max="1283" width="2.5" style="1" customWidth="1"/>
    <col min="1284" max="1284" width="1.625" style="1" customWidth="1"/>
    <col min="1285" max="1285" width="6.625" style="1" customWidth="1"/>
    <col min="1286" max="1286" width="7.625" style="1" customWidth="1"/>
    <col min="1287" max="1287" width="1.75" style="1" customWidth="1"/>
    <col min="1288" max="1288" width="12.25" style="1" customWidth="1"/>
    <col min="1289" max="1290" width="1.5" style="1" customWidth="1"/>
    <col min="1291" max="1291" width="12.25" style="1" customWidth="1"/>
    <col min="1292" max="1292" width="1.5" style="1" customWidth="1"/>
    <col min="1293" max="1293" width="13.25" style="1" customWidth="1"/>
    <col min="1294" max="1296" width="12.25" style="1" customWidth="1"/>
    <col min="1297" max="1297" width="10.25" style="1" bestFit="1" customWidth="1"/>
    <col min="1298" max="1298" width="9.25" style="1" bestFit="1" customWidth="1"/>
    <col min="1299" max="1299" width="10.5" style="1" bestFit="1" customWidth="1"/>
    <col min="1300" max="1300" width="10" style="1" bestFit="1" customWidth="1"/>
    <col min="1301" max="1536" width="9" style="1"/>
    <col min="1537" max="1537" width="1.5" style="1" customWidth="1"/>
    <col min="1538" max="1538" width="2.125" style="1" customWidth="1"/>
    <col min="1539" max="1539" width="2.5" style="1" customWidth="1"/>
    <col min="1540" max="1540" width="1.625" style="1" customWidth="1"/>
    <col min="1541" max="1541" width="6.625" style="1" customWidth="1"/>
    <col min="1542" max="1542" width="7.625" style="1" customWidth="1"/>
    <col min="1543" max="1543" width="1.75" style="1" customWidth="1"/>
    <col min="1544" max="1544" width="12.25" style="1" customWidth="1"/>
    <col min="1545" max="1546" width="1.5" style="1" customWidth="1"/>
    <col min="1547" max="1547" width="12.25" style="1" customWidth="1"/>
    <col min="1548" max="1548" width="1.5" style="1" customWidth="1"/>
    <col min="1549" max="1549" width="13.25" style="1" customWidth="1"/>
    <col min="1550" max="1552" width="12.25" style="1" customWidth="1"/>
    <col min="1553" max="1553" width="10.25" style="1" bestFit="1" customWidth="1"/>
    <col min="1554" max="1554" width="9.25" style="1" bestFit="1" customWidth="1"/>
    <col min="1555" max="1555" width="10.5" style="1" bestFit="1" customWidth="1"/>
    <col min="1556" max="1556" width="10" style="1" bestFit="1" customWidth="1"/>
    <col min="1557" max="1792" width="9" style="1"/>
    <col min="1793" max="1793" width="1.5" style="1" customWidth="1"/>
    <col min="1794" max="1794" width="2.125" style="1" customWidth="1"/>
    <col min="1795" max="1795" width="2.5" style="1" customWidth="1"/>
    <col min="1796" max="1796" width="1.625" style="1" customWidth="1"/>
    <col min="1797" max="1797" width="6.625" style="1" customWidth="1"/>
    <col min="1798" max="1798" width="7.625" style="1" customWidth="1"/>
    <col min="1799" max="1799" width="1.75" style="1" customWidth="1"/>
    <col min="1800" max="1800" width="12.25" style="1" customWidth="1"/>
    <col min="1801" max="1802" width="1.5" style="1" customWidth="1"/>
    <col min="1803" max="1803" width="12.25" style="1" customWidth="1"/>
    <col min="1804" max="1804" width="1.5" style="1" customWidth="1"/>
    <col min="1805" max="1805" width="13.25" style="1" customWidth="1"/>
    <col min="1806" max="1808" width="12.25" style="1" customWidth="1"/>
    <col min="1809" max="1809" width="10.25" style="1" bestFit="1" customWidth="1"/>
    <col min="1810" max="1810" width="9.25" style="1" bestFit="1" customWidth="1"/>
    <col min="1811" max="1811" width="10.5" style="1" bestFit="1" customWidth="1"/>
    <col min="1812" max="1812" width="10" style="1" bestFit="1" customWidth="1"/>
    <col min="1813" max="2048" width="9" style="1"/>
    <col min="2049" max="2049" width="1.5" style="1" customWidth="1"/>
    <col min="2050" max="2050" width="2.125" style="1" customWidth="1"/>
    <col min="2051" max="2051" width="2.5" style="1" customWidth="1"/>
    <col min="2052" max="2052" width="1.625" style="1" customWidth="1"/>
    <col min="2053" max="2053" width="6.625" style="1" customWidth="1"/>
    <col min="2054" max="2054" width="7.625" style="1" customWidth="1"/>
    <col min="2055" max="2055" width="1.75" style="1" customWidth="1"/>
    <col min="2056" max="2056" width="12.25" style="1" customWidth="1"/>
    <col min="2057" max="2058" width="1.5" style="1" customWidth="1"/>
    <col min="2059" max="2059" width="12.25" style="1" customWidth="1"/>
    <col min="2060" max="2060" width="1.5" style="1" customWidth="1"/>
    <col min="2061" max="2061" width="13.25" style="1" customWidth="1"/>
    <col min="2062" max="2064" width="12.25" style="1" customWidth="1"/>
    <col min="2065" max="2065" width="10.25" style="1" bestFit="1" customWidth="1"/>
    <col min="2066" max="2066" width="9.25" style="1" bestFit="1" customWidth="1"/>
    <col min="2067" max="2067" width="10.5" style="1" bestFit="1" customWidth="1"/>
    <col min="2068" max="2068" width="10" style="1" bestFit="1" customWidth="1"/>
    <col min="2069" max="2304" width="9" style="1"/>
    <col min="2305" max="2305" width="1.5" style="1" customWidth="1"/>
    <col min="2306" max="2306" width="2.125" style="1" customWidth="1"/>
    <col min="2307" max="2307" width="2.5" style="1" customWidth="1"/>
    <col min="2308" max="2308" width="1.625" style="1" customWidth="1"/>
    <col min="2309" max="2309" width="6.625" style="1" customWidth="1"/>
    <col min="2310" max="2310" width="7.625" style="1" customWidth="1"/>
    <col min="2311" max="2311" width="1.75" style="1" customWidth="1"/>
    <col min="2312" max="2312" width="12.25" style="1" customWidth="1"/>
    <col min="2313" max="2314" width="1.5" style="1" customWidth="1"/>
    <col min="2315" max="2315" width="12.25" style="1" customWidth="1"/>
    <col min="2316" max="2316" width="1.5" style="1" customWidth="1"/>
    <col min="2317" max="2317" width="13.25" style="1" customWidth="1"/>
    <col min="2318" max="2320" width="12.25" style="1" customWidth="1"/>
    <col min="2321" max="2321" width="10.25" style="1" bestFit="1" customWidth="1"/>
    <col min="2322" max="2322" width="9.25" style="1" bestFit="1" customWidth="1"/>
    <col min="2323" max="2323" width="10.5" style="1" bestFit="1" customWidth="1"/>
    <col min="2324" max="2324" width="10" style="1" bestFit="1" customWidth="1"/>
    <col min="2325" max="2560" width="9" style="1"/>
    <col min="2561" max="2561" width="1.5" style="1" customWidth="1"/>
    <col min="2562" max="2562" width="2.125" style="1" customWidth="1"/>
    <col min="2563" max="2563" width="2.5" style="1" customWidth="1"/>
    <col min="2564" max="2564" width="1.625" style="1" customWidth="1"/>
    <col min="2565" max="2565" width="6.625" style="1" customWidth="1"/>
    <col min="2566" max="2566" width="7.625" style="1" customWidth="1"/>
    <col min="2567" max="2567" width="1.75" style="1" customWidth="1"/>
    <col min="2568" max="2568" width="12.25" style="1" customWidth="1"/>
    <col min="2569" max="2570" width="1.5" style="1" customWidth="1"/>
    <col min="2571" max="2571" width="12.25" style="1" customWidth="1"/>
    <col min="2572" max="2572" width="1.5" style="1" customWidth="1"/>
    <col min="2573" max="2573" width="13.25" style="1" customWidth="1"/>
    <col min="2574" max="2576" width="12.25" style="1" customWidth="1"/>
    <col min="2577" max="2577" width="10.25" style="1" bestFit="1" customWidth="1"/>
    <col min="2578" max="2578" width="9.25" style="1" bestFit="1" customWidth="1"/>
    <col min="2579" max="2579" width="10.5" style="1" bestFit="1" customWidth="1"/>
    <col min="2580" max="2580" width="10" style="1" bestFit="1" customWidth="1"/>
    <col min="2581" max="2816" width="9" style="1"/>
    <col min="2817" max="2817" width="1.5" style="1" customWidth="1"/>
    <col min="2818" max="2818" width="2.125" style="1" customWidth="1"/>
    <col min="2819" max="2819" width="2.5" style="1" customWidth="1"/>
    <col min="2820" max="2820" width="1.625" style="1" customWidth="1"/>
    <col min="2821" max="2821" width="6.625" style="1" customWidth="1"/>
    <col min="2822" max="2822" width="7.625" style="1" customWidth="1"/>
    <col min="2823" max="2823" width="1.75" style="1" customWidth="1"/>
    <col min="2824" max="2824" width="12.25" style="1" customWidth="1"/>
    <col min="2825" max="2826" width="1.5" style="1" customWidth="1"/>
    <col min="2827" max="2827" width="12.25" style="1" customWidth="1"/>
    <col min="2828" max="2828" width="1.5" style="1" customWidth="1"/>
    <col min="2829" max="2829" width="13.25" style="1" customWidth="1"/>
    <col min="2830" max="2832" width="12.25" style="1" customWidth="1"/>
    <col min="2833" max="2833" width="10.25" style="1" bestFit="1" customWidth="1"/>
    <col min="2834" max="2834" width="9.25" style="1" bestFit="1" customWidth="1"/>
    <col min="2835" max="2835" width="10.5" style="1" bestFit="1" customWidth="1"/>
    <col min="2836" max="2836" width="10" style="1" bestFit="1" customWidth="1"/>
    <col min="2837" max="3072" width="9" style="1"/>
    <col min="3073" max="3073" width="1.5" style="1" customWidth="1"/>
    <col min="3074" max="3074" width="2.125" style="1" customWidth="1"/>
    <col min="3075" max="3075" width="2.5" style="1" customWidth="1"/>
    <col min="3076" max="3076" width="1.625" style="1" customWidth="1"/>
    <col min="3077" max="3077" width="6.625" style="1" customWidth="1"/>
    <col min="3078" max="3078" width="7.625" style="1" customWidth="1"/>
    <col min="3079" max="3079" width="1.75" style="1" customWidth="1"/>
    <col min="3080" max="3080" width="12.25" style="1" customWidth="1"/>
    <col min="3081" max="3082" width="1.5" style="1" customWidth="1"/>
    <col min="3083" max="3083" width="12.25" style="1" customWidth="1"/>
    <col min="3084" max="3084" width="1.5" style="1" customWidth="1"/>
    <col min="3085" max="3085" width="13.25" style="1" customWidth="1"/>
    <col min="3086" max="3088" width="12.25" style="1" customWidth="1"/>
    <col min="3089" max="3089" width="10.25" style="1" bestFit="1" customWidth="1"/>
    <col min="3090" max="3090" width="9.25" style="1" bestFit="1" customWidth="1"/>
    <col min="3091" max="3091" width="10.5" style="1" bestFit="1" customWidth="1"/>
    <col min="3092" max="3092" width="10" style="1" bestFit="1" customWidth="1"/>
    <col min="3093" max="3328" width="9" style="1"/>
    <col min="3329" max="3329" width="1.5" style="1" customWidth="1"/>
    <col min="3330" max="3330" width="2.125" style="1" customWidth="1"/>
    <col min="3331" max="3331" width="2.5" style="1" customWidth="1"/>
    <col min="3332" max="3332" width="1.625" style="1" customWidth="1"/>
    <col min="3333" max="3333" width="6.625" style="1" customWidth="1"/>
    <col min="3334" max="3334" width="7.625" style="1" customWidth="1"/>
    <col min="3335" max="3335" width="1.75" style="1" customWidth="1"/>
    <col min="3336" max="3336" width="12.25" style="1" customWidth="1"/>
    <col min="3337" max="3338" width="1.5" style="1" customWidth="1"/>
    <col min="3339" max="3339" width="12.25" style="1" customWidth="1"/>
    <col min="3340" max="3340" width="1.5" style="1" customWidth="1"/>
    <col min="3341" max="3341" width="13.25" style="1" customWidth="1"/>
    <col min="3342" max="3344" width="12.25" style="1" customWidth="1"/>
    <col min="3345" max="3345" width="10.25" style="1" bestFit="1" customWidth="1"/>
    <col min="3346" max="3346" width="9.25" style="1" bestFit="1" customWidth="1"/>
    <col min="3347" max="3347" width="10.5" style="1" bestFit="1" customWidth="1"/>
    <col min="3348" max="3348" width="10" style="1" bestFit="1" customWidth="1"/>
    <col min="3349" max="3584" width="9" style="1"/>
    <col min="3585" max="3585" width="1.5" style="1" customWidth="1"/>
    <col min="3586" max="3586" width="2.125" style="1" customWidth="1"/>
    <col min="3587" max="3587" width="2.5" style="1" customWidth="1"/>
    <col min="3588" max="3588" width="1.625" style="1" customWidth="1"/>
    <col min="3589" max="3589" width="6.625" style="1" customWidth="1"/>
    <col min="3590" max="3590" width="7.625" style="1" customWidth="1"/>
    <col min="3591" max="3591" width="1.75" style="1" customWidth="1"/>
    <col min="3592" max="3592" width="12.25" style="1" customWidth="1"/>
    <col min="3593" max="3594" width="1.5" style="1" customWidth="1"/>
    <col min="3595" max="3595" width="12.25" style="1" customWidth="1"/>
    <col min="3596" max="3596" width="1.5" style="1" customWidth="1"/>
    <col min="3597" max="3597" width="13.25" style="1" customWidth="1"/>
    <col min="3598" max="3600" width="12.25" style="1" customWidth="1"/>
    <col min="3601" max="3601" width="10.25" style="1" bestFit="1" customWidth="1"/>
    <col min="3602" max="3602" width="9.25" style="1" bestFit="1" customWidth="1"/>
    <col min="3603" max="3603" width="10.5" style="1" bestFit="1" customWidth="1"/>
    <col min="3604" max="3604" width="10" style="1" bestFit="1" customWidth="1"/>
    <col min="3605" max="3840" width="9" style="1"/>
    <col min="3841" max="3841" width="1.5" style="1" customWidth="1"/>
    <col min="3842" max="3842" width="2.125" style="1" customWidth="1"/>
    <col min="3843" max="3843" width="2.5" style="1" customWidth="1"/>
    <col min="3844" max="3844" width="1.625" style="1" customWidth="1"/>
    <col min="3845" max="3845" width="6.625" style="1" customWidth="1"/>
    <col min="3846" max="3846" width="7.625" style="1" customWidth="1"/>
    <col min="3847" max="3847" width="1.75" style="1" customWidth="1"/>
    <col min="3848" max="3848" width="12.25" style="1" customWidth="1"/>
    <col min="3849" max="3850" width="1.5" style="1" customWidth="1"/>
    <col min="3851" max="3851" width="12.25" style="1" customWidth="1"/>
    <col min="3852" max="3852" width="1.5" style="1" customWidth="1"/>
    <col min="3853" max="3853" width="13.25" style="1" customWidth="1"/>
    <col min="3854" max="3856" width="12.25" style="1" customWidth="1"/>
    <col min="3857" max="3857" width="10.25" style="1" bestFit="1" customWidth="1"/>
    <col min="3858" max="3858" width="9.25" style="1" bestFit="1" customWidth="1"/>
    <col min="3859" max="3859" width="10.5" style="1" bestFit="1" customWidth="1"/>
    <col min="3860" max="3860" width="10" style="1" bestFit="1" customWidth="1"/>
    <col min="3861" max="4096" width="9" style="1"/>
    <col min="4097" max="4097" width="1.5" style="1" customWidth="1"/>
    <col min="4098" max="4098" width="2.125" style="1" customWidth="1"/>
    <col min="4099" max="4099" width="2.5" style="1" customWidth="1"/>
    <col min="4100" max="4100" width="1.625" style="1" customWidth="1"/>
    <col min="4101" max="4101" width="6.625" style="1" customWidth="1"/>
    <col min="4102" max="4102" width="7.625" style="1" customWidth="1"/>
    <col min="4103" max="4103" width="1.75" style="1" customWidth="1"/>
    <col min="4104" max="4104" width="12.25" style="1" customWidth="1"/>
    <col min="4105" max="4106" width="1.5" style="1" customWidth="1"/>
    <col min="4107" max="4107" width="12.25" style="1" customWidth="1"/>
    <col min="4108" max="4108" width="1.5" style="1" customWidth="1"/>
    <col min="4109" max="4109" width="13.25" style="1" customWidth="1"/>
    <col min="4110" max="4112" width="12.25" style="1" customWidth="1"/>
    <col min="4113" max="4113" width="10.25" style="1" bestFit="1" customWidth="1"/>
    <col min="4114" max="4114" width="9.25" style="1" bestFit="1" customWidth="1"/>
    <col min="4115" max="4115" width="10.5" style="1" bestFit="1" customWidth="1"/>
    <col min="4116" max="4116" width="10" style="1" bestFit="1" customWidth="1"/>
    <col min="4117" max="4352" width="9" style="1"/>
    <col min="4353" max="4353" width="1.5" style="1" customWidth="1"/>
    <col min="4354" max="4354" width="2.125" style="1" customWidth="1"/>
    <col min="4355" max="4355" width="2.5" style="1" customWidth="1"/>
    <col min="4356" max="4356" width="1.625" style="1" customWidth="1"/>
    <col min="4357" max="4357" width="6.625" style="1" customWidth="1"/>
    <col min="4358" max="4358" width="7.625" style="1" customWidth="1"/>
    <col min="4359" max="4359" width="1.75" style="1" customWidth="1"/>
    <col min="4360" max="4360" width="12.25" style="1" customWidth="1"/>
    <col min="4361" max="4362" width="1.5" style="1" customWidth="1"/>
    <col min="4363" max="4363" width="12.25" style="1" customWidth="1"/>
    <col min="4364" max="4364" width="1.5" style="1" customWidth="1"/>
    <col min="4365" max="4365" width="13.25" style="1" customWidth="1"/>
    <col min="4366" max="4368" width="12.25" style="1" customWidth="1"/>
    <col min="4369" max="4369" width="10.25" style="1" bestFit="1" customWidth="1"/>
    <col min="4370" max="4370" width="9.25" style="1" bestFit="1" customWidth="1"/>
    <col min="4371" max="4371" width="10.5" style="1" bestFit="1" customWidth="1"/>
    <col min="4372" max="4372" width="10" style="1" bestFit="1" customWidth="1"/>
    <col min="4373" max="4608" width="9" style="1"/>
    <col min="4609" max="4609" width="1.5" style="1" customWidth="1"/>
    <col min="4610" max="4610" width="2.125" style="1" customWidth="1"/>
    <col min="4611" max="4611" width="2.5" style="1" customWidth="1"/>
    <col min="4612" max="4612" width="1.625" style="1" customWidth="1"/>
    <col min="4613" max="4613" width="6.625" style="1" customWidth="1"/>
    <col min="4614" max="4614" width="7.625" style="1" customWidth="1"/>
    <col min="4615" max="4615" width="1.75" style="1" customWidth="1"/>
    <col min="4616" max="4616" width="12.25" style="1" customWidth="1"/>
    <col min="4617" max="4618" width="1.5" style="1" customWidth="1"/>
    <col min="4619" max="4619" width="12.25" style="1" customWidth="1"/>
    <col min="4620" max="4620" width="1.5" style="1" customWidth="1"/>
    <col min="4621" max="4621" width="13.25" style="1" customWidth="1"/>
    <col min="4622" max="4624" width="12.25" style="1" customWidth="1"/>
    <col min="4625" max="4625" width="10.25" style="1" bestFit="1" customWidth="1"/>
    <col min="4626" max="4626" width="9.25" style="1" bestFit="1" customWidth="1"/>
    <col min="4627" max="4627" width="10.5" style="1" bestFit="1" customWidth="1"/>
    <col min="4628" max="4628" width="10" style="1" bestFit="1" customWidth="1"/>
    <col min="4629" max="4864" width="9" style="1"/>
    <col min="4865" max="4865" width="1.5" style="1" customWidth="1"/>
    <col min="4866" max="4866" width="2.125" style="1" customWidth="1"/>
    <col min="4867" max="4867" width="2.5" style="1" customWidth="1"/>
    <col min="4868" max="4868" width="1.625" style="1" customWidth="1"/>
    <col min="4869" max="4869" width="6.625" style="1" customWidth="1"/>
    <col min="4870" max="4870" width="7.625" style="1" customWidth="1"/>
    <col min="4871" max="4871" width="1.75" style="1" customWidth="1"/>
    <col min="4872" max="4872" width="12.25" style="1" customWidth="1"/>
    <col min="4873" max="4874" width="1.5" style="1" customWidth="1"/>
    <col min="4875" max="4875" width="12.25" style="1" customWidth="1"/>
    <col min="4876" max="4876" width="1.5" style="1" customWidth="1"/>
    <col min="4877" max="4877" width="13.25" style="1" customWidth="1"/>
    <col min="4878" max="4880" width="12.25" style="1" customWidth="1"/>
    <col min="4881" max="4881" width="10.25" style="1" bestFit="1" customWidth="1"/>
    <col min="4882" max="4882" width="9.25" style="1" bestFit="1" customWidth="1"/>
    <col min="4883" max="4883" width="10.5" style="1" bestFit="1" customWidth="1"/>
    <col min="4884" max="4884" width="10" style="1" bestFit="1" customWidth="1"/>
    <col min="4885" max="5120" width="9" style="1"/>
    <col min="5121" max="5121" width="1.5" style="1" customWidth="1"/>
    <col min="5122" max="5122" width="2.125" style="1" customWidth="1"/>
    <col min="5123" max="5123" width="2.5" style="1" customWidth="1"/>
    <col min="5124" max="5124" width="1.625" style="1" customWidth="1"/>
    <col min="5125" max="5125" width="6.625" style="1" customWidth="1"/>
    <col min="5126" max="5126" width="7.625" style="1" customWidth="1"/>
    <col min="5127" max="5127" width="1.75" style="1" customWidth="1"/>
    <col min="5128" max="5128" width="12.25" style="1" customWidth="1"/>
    <col min="5129" max="5130" width="1.5" style="1" customWidth="1"/>
    <col min="5131" max="5131" width="12.25" style="1" customWidth="1"/>
    <col min="5132" max="5132" width="1.5" style="1" customWidth="1"/>
    <col min="5133" max="5133" width="13.25" style="1" customWidth="1"/>
    <col min="5134" max="5136" width="12.25" style="1" customWidth="1"/>
    <col min="5137" max="5137" width="10.25" style="1" bestFit="1" customWidth="1"/>
    <col min="5138" max="5138" width="9.25" style="1" bestFit="1" customWidth="1"/>
    <col min="5139" max="5139" width="10.5" style="1" bestFit="1" customWidth="1"/>
    <col min="5140" max="5140" width="10" style="1" bestFit="1" customWidth="1"/>
    <col min="5141" max="5376" width="9" style="1"/>
    <col min="5377" max="5377" width="1.5" style="1" customWidth="1"/>
    <col min="5378" max="5378" width="2.125" style="1" customWidth="1"/>
    <col min="5379" max="5379" width="2.5" style="1" customWidth="1"/>
    <col min="5380" max="5380" width="1.625" style="1" customWidth="1"/>
    <col min="5381" max="5381" width="6.625" style="1" customWidth="1"/>
    <col min="5382" max="5382" width="7.625" style="1" customWidth="1"/>
    <col min="5383" max="5383" width="1.75" style="1" customWidth="1"/>
    <col min="5384" max="5384" width="12.25" style="1" customWidth="1"/>
    <col min="5385" max="5386" width="1.5" style="1" customWidth="1"/>
    <col min="5387" max="5387" width="12.25" style="1" customWidth="1"/>
    <col min="5388" max="5388" width="1.5" style="1" customWidth="1"/>
    <col min="5389" max="5389" width="13.25" style="1" customWidth="1"/>
    <col min="5390" max="5392" width="12.25" style="1" customWidth="1"/>
    <col min="5393" max="5393" width="10.25" style="1" bestFit="1" customWidth="1"/>
    <col min="5394" max="5394" width="9.25" style="1" bestFit="1" customWidth="1"/>
    <col min="5395" max="5395" width="10.5" style="1" bestFit="1" customWidth="1"/>
    <col min="5396" max="5396" width="10" style="1" bestFit="1" customWidth="1"/>
    <col min="5397" max="5632" width="9" style="1"/>
    <col min="5633" max="5633" width="1.5" style="1" customWidth="1"/>
    <col min="5634" max="5634" width="2.125" style="1" customWidth="1"/>
    <col min="5635" max="5635" width="2.5" style="1" customWidth="1"/>
    <col min="5636" max="5636" width="1.625" style="1" customWidth="1"/>
    <col min="5637" max="5637" width="6.625" style="1" customWidth="1"/>
    <col min="5638" max="5638" width="7.625" style="1" customWidth="1"/>
    <col min="5639" max="5639" width="1.75" style="1" customWidth="1"/>
    <col min="5640" max="5640" width="12.25" style="1" customWidth="1"/>
    <col min="5641" max="5642" width="1.5" style="1" customWidth="1"/>
    <col min="5643" max="5643" width="12.25" style="1" customWidth="1"/>
    <col min="5644" max="5644" width="1.5" style="1" customWidth="1"/>
    <col min="5645" max="5645" width="13.25" style="1" customWidth="1"/>
    <col min="5646" max="5648" width="12.25" style="1" customWidth="1"/>
    <col min="5649" max="5649" width="10.25" style="1" bestFit="1" customWidth="1"/>
    <col min="5650" max="5650" width="9.25" style="1" bestFit="1" customWidth="1"/>
    <col min="5651" max="5651" width="10.5" style="1" bestFit="1" customWidth="1"/>
    <col min="5652" max="5652" width="10" style="1" bestFit="1" customWidth="1"/>
    <col min="5653" max="5888" width="9" style="1"/>
    <col min="5889" max="5889" width="1.5" style="1" customWidth="1"/>
    <col min="5890" max="5890" width="2.125" style="1" customWidth="1"/>
    <col min="5891" max="5891" width="2.5" style="1" customWidth="1"/>
    <col min="5892" max="5892" width="1.625" style="1" customWidth="1"/>
    <col min="5893" max="5893" width="6.625" style="1" customWidth="1"/>
    <col min="5894" max="5894" width="7.625" style="1" customWidth="1"/>
    <col min="5895" max="5895" width="1.75" style="1" customWidth="1"/>
    <col min="5896" max="5896" width="12.25" style="1" customWidth="1"/>
    <col min="5897" max="5898" width="1.5" style="1" customWidth="1"/>
    <col min="5899" max="5899" width="12.25" style="1" customWidth="1"/>
    <col min="5900" max="5900" width="1.5" style="1" customWidth="1"/>
    <col min="5901" max="5901" width="13.25" style="1" customWidth="1"/>
    <col min="5902" max="5904" width="12.25" style="1" customWidth="1"/>
    <col min="5905" max="5905" width="10.25" style="1" bestFit="1" customWidth="1"/>
    <col min="5906" max="5906" width="9.25" style="1" bestFit="1" customWidth="1"/>
    <col min="5907" max="5907" width="10.5" style="1" bestFit="1" customWidth="1"/>
    <col min="5908" max="5908" width="10" style="1" bestFit="1" customWidth="1"/>
    <col min="5909" max="6144" width="9" style="1"/>
    <col min="6145" max="6145" width="1.5" style="1" customWidth="1"/>
    <col min="6146" max="6146" width="2.125" style="1" customWidth="1"/>
    <col min="6147" max="6147" width="2.5" style="1" customWidth="1"/>
    <col min="6148" max="6148" width="1.625" style="1" customWidth="1"/>
    <col min="6149" max="6149" width="6.625" style="1" customWidth="1"/>
    <col min="6150" max="6150" width="7.625" style="1" customWidth="1"/>
    <col min="6151" max="6151" width="1.75" style="1" customWidth="1"/>
    <col min="6152" max="6152" width="12.25" style="1" customWidth="1"/>
    <col min="6153" max="6154" width="1.5" style="1" customWidth="1"/>
    <col min="6155" max="6155" width="12.25" style="1" customWidth="1"/>
    <col min="6156" max="6156" width="1.5" style="1" customWidth="1"/>
    <col min="6157" max="6157" width="13.25" style="1" customWidth="1"/>
    <col min="6158" max="6160" width="12.25" style="1" customWidth="1"/>
    <col min="6161" max="6161" width="10.25" style="1" bestFit="1" customWidth="1"/>
    <col min="6162" max="6162" width="9.25" style="1" bestFit="1" customWidth="1"/>
    <col min="6163" max="6163" width="10.5" style="1" bestFit="1" customWidth="1"/>
    <col min="6164" max="6164" width="10" style="1" bestFit="1" customWidth="1"/>
    <col min="6165" max="6400" width="9" style="1"/>
    <col min="6401" max="6401" width="1.5" style="1" customWidth="1"/>
    <col min="6402" max="6402" width="2.125" style="1" customWidth="1"/>
    <col min="6403" max="6403" width="2.5" style="1" customWidth="1"/>
    <col min="6404" max="6404" width="1.625" style="1" customWidth="1"/>
    <col min="6405" max="6405" width="6.625" style="1" customWidth="1"/>
    <col min="6406" max="6406" width="7.625" style="1" customWidth="1"/>
    <col min="6407" max="6407" width="1.75" style="1" customWidth="1"/>
    <col min="6408" max="6408" width="12.25" style="1" customWidth="1"/>
    <col min="6409" max="6410" width="1.5" style="1" customWidth="1"/>
    <col min="6411" max="6411" width="12.25" style="1" customWidth="1"/>
    <col min="6412" max="6412" width="1.5" style="1" customWidth="1"/>
    <col min="6413" max="6413" width="13.25" style="1" customWidth="1"/>
    <col min="6414" max="6416" width="12.25" style="1" customWidth="1"/>
    <col min="6417" max="6417" width="10.25" style="1" bestFit="1" customWidth="1"/>
    <col min="6418" max="6418" width="9.25" style="1" bestFit="1" customWidth="1"/>
    <col min="6419" max="6419" width="10.5" style="1" bestFit="1" customWidth="1"/>
    <col min="6420" max="6420" width="10" style="1" bestFit="1" customWidth="1"/>
    <col min="6421" max="6656" width="9" style="1"/>
    <col min="6657" max="6657" width="1.5" style="1" customWidth="1"/>
    <col min="6658" max="6658" width="2.125" style="1" customWidth="1"/>
    <col min="6659" max="6659" width="2.5" style="1" customWidth="1"/>
    <col min="6660" max="6660" width="1.625" style="1" customWidth="1"/>
    <col min="6661" max="6661" width="6.625" style="1" customWidth="1"/>
    <col min="6662" max="6662" width="7.625" style="1" customWidth="1"/>
    <col min="6663" max="6663" width="1.75" style="1" customWidth="1"/>
    <col min="6664" max="6664" width="12.25" style="1" customWidth="1"/>
    <col min="6665" max="6666" width="1.5" style="1" customWidth="1"/>
    <col min="6667" max="6667" width="12.25" style="1" customWidth="1"/>
    <col min="6668" max="6668" width="1.5" style="1" customWidth="1"/>
    <col min="6669" max="6669" width="13.25" style="1" customWidth="1"/>
    <col min="6670" max="6672" width="12.25" style="1" customWidth="1"/>
    <col min="6673" max="6673" width="10.25" style="1" bestFit="1" customWidth="1"/>
    <col min="6674" max="6674" width="9.25" style="1" bestFit="1" customWidth="1"/>
    <col min="6675" max="6675" width="10.5" style="1" bestFit="1" customWidth="1"/>
    <col min="6676" max="6676" width="10" style="1" bestFit="1" customWidth="1"/>
    <col min="6677" max="6912" width="9" style="1"/>
    <col min="6913" max="6913" width="1.5" style="1" customWidth="1"/>
    <col min="6914" max="6914" width="2.125" style="1" customWidth="1"/>
    <col min="6915" max="6915" width="2.5" style="1" customWidth="1"/>
    <col min="6916" max="6916" width="1.625" style="1" customWidth="1"/>
    <col min="6917" max="6917" width="6.625" style="1" customWidth="1"/>
    <col min="6918" max="6918" width="7.625" style="1" customWidth="1"/>
    <col min="6919" max="6919" width="1.75" style="1" customWidth="1"/>
    <col min="6920" max="6920" width="12.25" style="1" customWidth="1"/>
    <col min="6921" max="6922" width="1.5" style="1" customWidth="1"/>
    <col min="6923" max="6923" width="12.25" style="1" customWidth="1"/>
    <col min="6924" max="6924" width="1.5" style="1" customWidth="1"/>
    <col min="6925" max="6925" width="13.25" style="1" customWidth="1"/>
    <col min="6926" max="6928" width="12.25" style="1" customWidth="1"/>
    <col min="6929" max="6929" width="10.25" style="1" bestFit="1" customWidth="1"/>
    <col min="6930" max="6930" width="9.25" style="1" bestFit="1" customWidth="1"/>
    <col min="6931" max="6931" width="10.5" style="1" bestFit="1" customWidth="1"/>
    <col min="6932" max="6932" width="10" style="1" bestFit="1" customWidth="1"/>
    <col min="6933" max="7168" width="9" style="1"/>
    <col min="7169" max="7169" width="1.5" style="1" customWidth="1"/>
    <col min="7170" max="7170" width="2.125" style="1" customWidth="1"/>
    <col min="7171" max="7171" width="2.5" style="1" customWidth="1"/>
    <col min="7172" max="7172" width="1.625" style="1" customWidth="1"/>
    <col min="7173" max="7173" width="6.625" style="1" customWidth="1"/>
    <col min="7174" max="7174" width="7.625" style="1" customWidth="1"/>
    <col min="7175" max="7175" width="1.75" style="1" customWidth="1"/>
    <col min="7176" max="7176" width="12.25" style="1" customWidth="1"/>
    <col min="7177" max="7178" width="1.5" style="1" customWidth="1"/>
    <col min="7179" max="7179" width="12.25" style="1" customWidth="1"/>
    <col min="7180" max="7180" width="1.5" style="1" customWidth="1"/>
    <col min="7181" max="7181" width="13.25" style="1" customWidth="1"/>
    <col min="7182" max="7184" width="12.25" style="1" customWidth="1"/>
    <col min="7185" max="7185" width="10.25" style="1" bestFit="1" customWidth="1"/>
    <col min="7186" max="7186" width="9.25" style="1" bestFit="1" customWidth="1"/>
    <col min="7187" max="7187" width="10.5" style="1" bestFit="1" customWidth="1"/>
    <col min="7188" max="7188" width="10" style="1" bestFit="1" customWidth="1"/>
    <col min="7189" max="7424" width="9" style="1"/>
    <col min="7425" max="7425" width="1.5" style="1" customWidth="1"/>
    <col min="7426" max="7426" width="2.125" style="1" customWidth="1"/>
    <col min="7427" max="7427" width="2.5" style="1" customWidth="1"/>
    <col min="7428" max="7428" width="1.625" style="1" customWidth="1"/>
    <col min="7429" max="7429" width="6.625" style="1" customWidth="1"/>
    <col min="7430" max="7430" width="7.625" style="1" customWidth="1"/>
    <col min="7431" max="7431" width="1.75" style="1" customWidth="1"/>
    <col min="7432" max="7432" width="12.25" style="1" customWidth="1"/>
    <col min="7433" max="7434" width="1.5" style="1" customWidth="1"/>
    <col min="7435" max="7435" width="12.25" style="1" customWidth="1"/>
    <col min="7436" max="7436" width="1.5" style="1" customWidth="1"/>
    <col min="7437" max="7437" width="13.25" style="1" customWidth="1"/>
    <col min="7438" max="7440" width="12.25" style="1" customWidth="1"/>
    <col min="7441" max="7441" width="10.25" style="1" bestFit="1" customWidth="1"/>
    <col min="7442" max="7442" width="9.25" style="1" bestFit="1" customWidth="1"/>
    <col min="7443" max="7443" width="10.5" style="1" bestFit="1" customWidth="1"/>
    <col min="7444" max="7444" width="10" style="1" bestFit="1" customWidth="1"/>
    <col min="7445" max="7680" width="9" style="1"/>
    <col min="7681" max="7681" width="1.5" style="1" customWidth="1"/>
    <col min="7682" max="7682" width="2.125" style="1" customWidth="1"/>
    <col min="7683" max="7683" width="2.5" style="1" customWidth="1"/>
    <col min="7684" max="7684" width="1.625" style="1" customWidth="1"/>
    <col min="7685" max="7685" width="6.625" style="1" customWidth="1"/>
    <col min="7686" max="7686" width="7.625" style="1" customWidth="1"/>
    <col min="7687" max="7687" width="1.75" style="1" customWidth="1"/>
    <col min="7688" max="7688" width="12.25" style="1" customWidth="1"/>
    <col min="7689" max="7690" width="1.5" style="1" customWidth="1"/>
    <col min="7691" max="7691" width="12.25" style="1" customWidth="1"/>
    <col min="7692" max="7692" width="1.5" style="1" customWidth="1"/>
    <col min="7693" max="7693" width="13.25" style="1" customWidth="1"/>
    <col min="7694" max="7696" width="12.25" style="1" customWidth="1"/>
    <col min="7697" max="7697" width="10.25" style="1" bestFit="1" customWidth="1"/>
    <col min="7698" max="7698" width="9.25" style="1" bestFit="1" customWidth="1"/>
    <col min="7699" max="7699" width="10.5" style="1" bestFit="1" customWidth="1"/>
    <col min="7700" max="7700" width="10" style="1" bestFit="1" customWidth="1"/>
    <col min="7701" max="7936" width="9" style="1"/>
    <col min="7937" max="7937" width="1.5" style="1" customWidth="1"/>
    <col min="7938" max="7938" width="2.125" style="1" customWidth="1"/>
    <col min="7939" max="7939" width="2.5" style="1" customWidth="1"/>
    <col min="7940" max="7940" width="1.625" style="1" customWidth="1"/>
    <col min="7941" max="7941" width="6.625" style="1" customWidth="1"/>
    <col min="7942" max="7942" width="7.625" style="1" customWidth="1"/>
    <col min="7943" max="7943" width="1.75" style="1" customWidth="1"/>
    <col min="7944" max="7944" width="12.25" style="1" customWidth="1"/>
    <col min="7945" max="7946" width="1.5" style="1" customWidth="1"/>
    <col min="7947" max="7947" width="12.25" style="1" customWidth="1"/>
    <col min="7948" max="7948" width="1.5" style="1" customWidth="1"/>
    <col min="7949" max="7949" width="13.25" style="1" customWidth="1"/>
    <col min="7950" max="7952" width="12.25" style="1" customWidth="1"/>
    <col min="7953" max="7953" width="10.25" style="1" bestFit="1" customWidth="1"/>
    <col min="7954" max="7954" width="9.25" style="1" bestFit="1" customWidth="1"/>
    <col min="7955" max="7955" width="10.5" style="1" bestFit="1" customWidth="1"/>
    <col min="7956" max="7956" width="10" style="1" bestFit="1" customWidth="1"/>
    <col min="7957" max="8192" width="9" style="1"/>
    <col min="8193" max="8193" width="1.5" style="1" customWidth="1"/>
    <col min="8194" max="8194" width="2.125" style="1" customWidth="1"/>
    <col min="8195" max="8195" width="2.5" style="1" customWidth="1"/>
    <col min="8196" max="8196" width="1.625" style="1" customWidth="1"/>
    <col min="8197" max="8197" width="6.625" style="1" customWidth="1"/>
    <col min="8198" max="8198" width="7.625" style="1" customWidth="1"/>
    <col min="8199" max="8199" width="1.75" style="1" customWidth="1"/>
    <col min="8200" max="8200" width="12.25" style="1" customWidth="1"/>
    <col min="8201" max="8202" width="1.5" style="1" customWidth="1"/>
    <col min="8203" max="8203" width="12.25" style="1" customWidth="1"/>
    <col min="8204" max="8204" width="1.5" style="1" customWidth="1"/>
    <col min="8205" max="8205" width="13.25" style="1" customWidth="1"/>
    <col min="8206" max="8208" width="12.25" style="1" customWidth="1"/>
    <col min="8209" max="8209" width="10.25" style="1" bestFit="1" customWidth="1"/>
    <col min="8210" max="8210" width="9.25" style="1" bestFit="1" customWidth="1"/>
    <col min="8211" max="8211" width="10.5" style="1" bestFit="1" customWidth="1"/>
    <col min="8212" max="8212" width="10" style="1" bestFit="1" customWidth="1"/>
    <col min="8213" max="8448" width="9" style="1"/>
    <col min="8449" max="8449" width="1.5" style="1" customWidth="1"/>
    <col min="8450" max="8450" width="2.125" style="1" customWidth="1"/>
    <col min="8451" max="8451" width="2.5" style="1" customWidth="1"/>
    <col min="8452" max="8452" width="1.625" style="1" customWidth="1"/>
    <col min="8453" max="8453" width="6.625" style="1" customWidth="1"/>
    <col min="8454" max="8454" width="7.625" style="1" customWidth="1"/>
    <col min="8455" max="8455" width="1.75" style="1" customWidth="1"/>
    <col min="8456" max="8456" width="12.25" style="1" customWidth="1"/>
    <col min="8457" max="8458" width="1.5" style="1" customWidth="1"/>
    <col min="8459" max="8459" width="12.25" style="1" customWidth="1"/>
    <col min="8460" max="8460" width="1.5" style="1" customWidth="1"/>
    <col min="8461" max="8461" width="13.25" style="1" customWidth="1"/>
    <col min="8462" max="8464" width="12.25" style="1" customWidth="1"/>
    <col min="8465" max="8465" width="10.25" style="1" bestFit="1" customWidth="1"/>
    <col min="8466" max="8466" width="9.25" style="1" bestFit="1" customWidth="1"/>
    <col min="8467" max="8467" width="10.5" style="1" bestFit="1" customWidth="1"/>
    <col min="8468" max="8468" width="10" style="1" bestFit="1" customWidth="1"/>
    <col min="8469" max="8704" width="9" style="1"/>
    <col min="8705" max="8705" width="1.5" style="1" customWidth="1"/>
    <col min="8706" max="8706" width="2.125" style="1" customWidth="1"/>
    <col min="8707" max="8707" width="2.5" style="1" customWidth="1"/>
    <col min="8708" max="8708" width="1.625" style="1" customWidth="1"/>
    <col min="8709" max="8709" width="6.625" style="1" customWidth="1"/>
    <col min="8710" max="8710" width="7.625" style="1" customWidth="1"/>
    <col min="8711" max="8711" width="1.75" style="1" customWidth="1"/>
    <col min="8712" max="8712" width="12.25" style="1" customWidth="1"/>
    <col min="8713" max="8714" width="1.5" style="1" customWidth="1"/>
    <col min="8715" max="8715" width="12.25" style="1" customWidth="1"/>
    <col min="8716" max="8716" width="1.5" style="1" customWidth="1"/>
    <col min="8717" max="8717" width="13.25" style="1" customWidth="1"/>
    <col min="8718" max="8720" width="12.25" style="1" customWidth="1"/>
    <col min="8721" max="8721" width="10.25" style="1" bestFit="1" customWidth="1"/>
    <col min="8722" max="8722" width="9.25" style="1" bestFit="1" customWidth="1"/>
    <col min="8723" max="8723" width="10.5" style="1" bestFit="1" customWidth="1"/>
    <col min="8724" max="8724" width="10" style="1" bestFit="1" customWidth="1"/>
    <col min="8725" max="8960" width="9" style="1"/>
    <col min="8961" max="8961" width="1.5" style="1" customWidth="1"/>
    <col min="8962" max="8962" width="2.125" style="1" customWidth="1"/>
    <col min="8963" max="8963" width="2.5" style="1" customWidth="1"/>
    <col min="8964" max="8964" width="1.625" style="1" customWidth="1"/>
    <col min="8965" max="8965" width="6.625" style="1" customWidth="1"/>
    <col min="8966" max="8966" width="7.625" style="1" customWidth="1"/>
    <col min="8967" max="8967" width="1.75" style="1" customWidth="1"/>
    <col min="8968" max="8968" width="12.25" style="1" customWidth="1"/>
    <col min="8969" max="8970" width="1.5" style="1" customWidth="1"/>
    <col min="8971" max="8971" width="12.25" style="1" customWidth="1"/>
    <col min="8972" max="8972" width="1.5" style="1" customWidth="1"/>
    <col min="8973" max="8973" width="13.25" style="1" customWidth="1"/>
    <col min="8974" max="8976" width="12.25" style="1" customWidth="1"/>
    <col min="8977" max="8977" width="10.25" style="1" bestFit="1" customWidth="1"/>
    <col min="8978" max="8978" width="9.25" style="1" bestFit="1" customWidth="1"/>
    <col min="8979" max="8979" width="10.5" style="1" bestFit="1" customWidth="1"/>
    <col min="8980" max="8980" width="10" style="1" bestFit="1" customWidth="1"/>
    <col min="8981" max="9216" width="9" style="1"/>
    <col min="9217" max="9217" width="1.5" style="1" customWidth="1"/>
    <col min="9218" max="9218" width="2.125" style="1" customWidth="1"/>
    <col min="9219" max="9219" width="2.5" style="1" customWidth="1"/>
    <col min="9220" max="9220" width="1.625" style="1" customWidth="1"/>
    <col min="9221" max="9221" width="6.625" style="1" customWidth="1"/>
    <col min="9222" max="9222" width="7.625" style="1" customWidth="1"/>
    <col min="9223" max="9223" width="1.75" style="1" customWidth="1"/>
    <col min="9224" max="9224" width="12.25" style="1" customWidth="1"/>
    <col min="9225" max="9226" width="1.5" style="1" customWidth="1"/>
    <col min="9227" max="9227" width="12.25" style="1" customWidth="1"/>
    <col min="9228" max="9228" width="1.5" style="1" customWidth="1"/>
    <col min="9229" max="9229" width="13.25" style="1" customWidth="1"/>
    <col min="9230" max="9232" width="12.25" style="1" customWidth="1"/>
    <col min="9233" max="9233" width="10.25" style="1" bestFit="1" customWidth="1"/>
    <col min="9234" max="9234" width="9.25" style="1" bestFit="1" customWidth="1"/>
    <col min="9235" max="9235" width="10.5" style="1" bestFit="1" customWidth="1"/>
    <col min="9236" max="9236" width="10" style="1" bestFit="1" customWidth="1"/>
    <col min="9237" max="9472" width="9" style="1"/>
    <col min="9473" max="9473" width="1.5" style="1" customWidth="1"/>
    <col min="9474" max="9474" width="2.125" style="1" customWidth="1"/>
    <col min="9475" max="9475" width="2.5" style="1" customWidth="1"/>
    <col min="9476" max="9476" width="1.625" style="1" customWidth="1"/>
    <col min="9477" max="9477" width="6.625" style="1" customWidth="1"/>
    <col min="9478" max="9478" width="7.625" style="1" customWidth="1"/>
    <col min="9479" max="9479" width="1.75" style="1" customWidth="1"/>
    <col min="9480" max="9480" width="12.25" style="1" customWidth="1"/>
    <col min="9481" max="9482" width="1.5" style="1" customWidth="1"/>
    <col min="9483" max="9483" width="12.25" style="1" customWidth="1"/>
    <col min="9484" max="9484" width="1.5" style="1" customWidth="1"/>
    <col min="9485" max="9485" width="13.25" style="1" customWidth="1"/>
    <col min="9486" max="9488" width="12.25" style="1" customWidth="1"/>
    <col min="9489" max="9489" width="10.25" style="1" bestFit="1" customWidth="1"/>
    <col min="9490" max="9490" width="9.25" style="1" bestFit="1" customWidth="1"/>
    <col min="9491" max="9491" width="10.5" style="1" bestFit="1" customWidth="1"/>
    <col min="9492" max="9492" width="10" style="1" bestFit="1" customWidth="1"/>
    <col min="9493" max="9728" width="9" style="1"/>
    <col min="9729" max="9729" width="1.5" style="1" customWidth="1"/>
    <col min="9730" max="9730" width="2.125" style="1" customWidth="1"/>
    <col min="9731" max="9731" width="2.5" style="1" customWidth="1"/>
    <col min="9732" max="9732" width="1.625" style="1" customWidth="1"/>
    <col min="9733" max="9733" width="6.625" style="1" customWidth="1"/>
    <col min="9734" max="9734" width="7.625" style="1" customWidth="1"/>
    <col min="9735" max="9735" width="1.75" style="1" customWidth="1"/>
    <col min="9736" max="9736" width="12.25" style="1" customWidth="1"/>
    <col min="9737" max="9738" width="1.5" style="1" customWidth="1"/>
    <col min="9739" max="9739" width="12.25" style="1" customWidth="1"/>
    <col min="9740" max="9740" width="1.5" style="1" customWidth="1"/>
    <col min="9741" max="9741" width="13.25" style="1" customWidth="1"/>
    <col min="9742" max="9744" width="12.25" style="1" customWidth="1"/>
    <col min="9745" max="9745" width="10.25" style="1" bestFit="1" customWidth="1"/>
    <col min="9746" max="9746" width="9.25" style="1" bestFit="1" customWidth="1"/>
    <col min="9747" max="9747" width="10.5" style="1" bestFit="1" customWidth="1"/>
    <col min="9748" max="9748" width="10" style="1" bestFit="1" customWidth="1"/>
    <col min="9749" max="9984" width="9" style="1"/>
    <col min="9985" max="9985" width="1.5" style="1" customWidth="1"/>
    <col min="9986" max="9986" width="2.125" style="1" customWidth="1"/>
    <col min="9987" max="9987" width="2.5" style="1" customWidth="1"/>
    <col min="9988" max="9988" width="1.625" style="1" customWidth="1"/>
    <col min="9989" max="9989" width="6.625" style="1" customWidth="1"/>
    <col min="9990" max="9990" width="7.625" style="1" customWidth="1"/>
    <col min="9991" max="9991" width="1.75" style="1" customWidth="1"/>
    <col min="9992" max="9992" width="12.25" style="1" customWidth="1"/>
    <col min="9993" max="9994" width="1.5" style="1" customWidth="1"/>
    <col min="9995" max="9995" width="12.25" style="1" customWidth="1"/>
    <col min="9996" max="9996" width="1.5" style="1" customWidth="1"/>
    <col min="9997" max="9997" width="13.25" style="1" customWidth="1"/>
    <col min="9998" max="10000" width="12.25" style="1" customWidth="1"/>
    <col min="10001" max="10001" width="10.25" style="1" bestFit="1" customWidth="1"/>
    <col min="10002" max="10002" width="9.25" style="1" bestFit="1" customWidth="1"/>
    <col min="10003" max="10003" width="10.5" style="1" bestFit="1" customWidth="1"/>
    <col min="10004" max="10004" width="10" style="1" bestFit="1" customWidth="1"/>
    <col min="10005" max="10240" width="9" style="1"/>
    <col min="10241" max="10241" width="1.5" style="1" customWidth="1"/>
    <col min="10242" max="10242" width="2.125" style="1" customWidth="1"/>
    <col min="10243" max="10243" width="2.5" style="1" customWidth="1"/>
    <col min="10244" max="10244" width="1.625" style="1" customWidth="1"/>
    <col min="10245" max="10245" width="6.625" style="1" customWidth="1"/>
    <col min="10246" max="10246" width="7.625" style="1" customWidth="1"/>
    <col min="10247" max="10247" width="1.75" style="1" customWidth="1"/>
    <col min="10248" max="10248" width="12.25" style="1" customWidth="1"/>
    <col min="10249" max="10250" width="1.5" style="1" customWidth="1"/>
    <col min="10251" max="10251" width="12.25" style="1" customWidth="1"/>
    <col min="10252" max="10252" width="1.5" style="1" customWidth="1"/>
    <col min="10253" max="10253" width="13.25" style="1" customWidth="1"/>
    <col min="10254" max="10256" width="12.25" style="1" customWidth="1"/>
    <col min="10257" max="10257" width="10.25" style="1" bestFit="1" customWidth="1"/>
    <col min="10258" max="10258" width="9.25" style="1" bestFit="1" customWidth="1"/>
    <col min="10259" max="10259" width="10.5" style="1" bestFit="1" customWidth="1"/>
    <col min="10260" max="10260" width="10" style="1" bestFit="1" customWidth="1"/>
    <col min="10261" max="10496" width="9" style="1"/>
    <col min="10497" max="10497" width="1.5" style="1" customWidth="1"/>
    <col min="10498" max="10498" width="2.125" style="1" customWidth="1"/>
    <col min="10499" max="10499" width="2.5" style="1" customWidth="1"/>
    <col min="10500" max="10500" width="1.625" style="1" customWidth="1"/>
    <col min="10501" max="10501" width="6.625" style="1" customWidth="1"/>
    <col min="10502" max="10502" width="7.625" style="1" customWidth="1"/>
    <col min="10503" max="10503" width="1.75" style="1" customWidth="1"/>
    <col min="10504" max="10504" width="12.25" style="1" customWidth="1"/>
    <col min="10505" max="10506" width="1.5" style="1" customWidth="1"/>
    <col min="10507" max="10507" width="12.25" style="1" customWidth="1"/>
    <col min="10508" max="10508" width="1.5" style="1" customWidth="1"/>
    <col min="10509" max="10509" width="13.25" style="1" customWidth="1"/>
    <col min="10510" max="10512" width="12.25" style="1" customWidth="1"/>
    <col min="10513" max="10513" width="10.25" style="1" bestFit="1" customWidth="1"/>
    <col min="10514" max="10514" width="9.25" style="1" bestFit="1" customWidth="1"/>
    <col min="10515" max="10515" width="10.5" style="1" bestFit="1" customWidth="1"/>
    <col min="10516" max="10516" width="10" style="1" bestFit="1" customWidth="1"/>
    <col min="10517" max="10752" width="9" style="1"/>
    <col min="10753" max="10753" width="1.5" style="1" customWidth="1"/>
    <col min="10754" max="10754" width="2.125" style="1" customWidth="1"/>
    <col min="10755" max="10755" width="2.5" style="1" customWidth="1"/>
    <col min="10756" max="10756" width="1.625" style="1" customWidth="1"/>
    <col min="10757" max="10757" width="6.625" style="1" customWidth="1"/>
    <col min="10758" max="10758" width="7.625" style="1" customWidth="1"/>
    <col min="10759" max="10759" width="1.75" style="1" customWidth="1"/>
    <col min="10760" max="10760" width="12.25" style="1" customWidth="1"/>
    <col min="10761" max="10762" width="1.5" style="1" customWidth="1"/>
    <col min="10763" max="10763" width="12.25" style="1" customWidth="1"/>
    <col min="10764" max="10764" width="1.5" style="1" customWidth="1"/>
    <col min="10765" max="10765" width="13.25" style="1" customWidth="1"/>
    <col min="10766" max="10768" width="12.25" style="1" customWidth="1"/>
    <col min="10769" max="10769" width="10.25" style="1" bestFit="1" customWidth="1"/>
    <col min="10770" max="10770" width="9.25" style="1" bestFit="1" customWidth="1"/>
    <col min="10771" max="10771" width="10.5" style="1" bestFit="1" customWidth="1"/>
    <col min="10772" max="10772" width="10" style="1" bestFit="1" customWidth="1"/>
    <col min="10773" max="11008" width="9" style="1"/>
    <col min="11009" max="11009" width="1.5" style="1" customWidth="1"/>
    <col min="11010" max="11010" width="2.125" style="1" customWidth="1"/>
    <col min="11011" max="11011" width="2.5" style="1" customWidth="1"/>
    <col min="11012" max="11012" width="1.625" style="1" customWidth="1"/>
    <col min="11013" max="11013" width="6.625" style="1" customWidth="1"/>
    <col min="11014" max="11014" width="7.625" style="1" customWidth="1"/>
    <col min="11015" max="11015" width="1.75" style="1" customWidth="1"/>
    <col min="11016" max="11016" width="12.25" style="1" customWidth="1"/>
    <col min="11017" max="11018" width="1.5" style="1" customWidth="1"/>
    <col min="11019" max="11019" width="12.25" style="1" customWidth="1"/>
    <col min="11020" max="11020" width="1.5" style="1" customWidth="1"/>
    <col min="11021" max="11021" width="13.25" style="1" customWidth="1"/>
    <col min="11022" max="11024" width="12.25" style="1" customWidth="1"/>
    <col min="11025" max="11025" width="10.25" style="1" bestFit="1" customWidth="1"/>
    <col min="11026" max="11026" width="9.25" style="1" bestFit="1" customWidth="1"/>
    <col min="11027" max="11027" width="10.5" style="1" bestFit="1" customWidth="1"/>
    <col min="11028" max="11028" width="10" style="1" bestFit="1" customWidth="1"/>
    <col min="11029" max="11264" width="9" style="1"/>
    <col min="11265" max="11265" width="1.5" style="1" customWidth="1"/>
    <col min="11266" max="11266" width="2.125" style="1" customWidth="1"/>
    <col min="11267" max="11267" width="2.5" style="1" customWidth="1"/>
    <col min="11268" max="11268" width="1.625" style="1" customWidth="1"/>
    <col min="11269" max="11269" width="6.625" style="1" customWidth="1"/>
    <col min="11270" max="11270" width="7.625" style="1" customWidth="1"/>
    <col min="11271" max="11271" width="1.75" style="1" customWidth="1"/>
    <col min="11272" max="11272" width="12.25" style="1" customWidth="1"/>
    <col min="11273" max="11274" width="1.5" style="1" customWidth="1"/>
    <col min="11275" max="11275" width="12.25" style="1" customWidth="1"/>
    <col min="11276" max="11276" width="1.5" style="1" customWidth="1"/>
    <col min="11277" max="11277" width="13.25" style="1" customWidth="1"/>
    <col min="11278" max="11280" width="12.25" style="1" customWidth="1"/>
    <col min="11281" max="11281" width="10.25" style="1" bestFit="1" customWidth="1"/>
    <col min="11282" max="11282" width="9.25" style="1" bestFit="1" customWidth="1"/>
    <col min="11283" max="11283" width="10.5" style="1" bestFit="1" customWidth="1"/>
    <col min="11284" max="11284" width="10" style="1" bestFit="1" customWidth="1"/>
    <col min="11285" max="11520" width="9" style="1"/>
    <col min="11521" max="11521" width="1.5" style="1" customWidth="1"/>
    <col min="11522" max="11522" width="2.125" style="1" customWidth="1"/>
    <col min="11523" max="11523" width="2.5" style="1" customWidth="1"/>
    <col min="11524" max="11524" width="1.625" style="1" customWidth="1"/>
    <col min="11525" max="11525" width="6.625" style="1" customWidth="1"/>
    <col min="11526" max="11526" width="7.625" style="1" customWidth="1"/>
    <col min="11527" max="11527" width="1.75" style="1" customWidth="1"/>
    <col min="11528" max="11528" width="12.25" style="1" customWidth="1"/>
    <col min="11529" max="11530" width="1.5" style="1" customWidth="1"/>
    <col min="11531" max="11531" width="12.25" style="1" customWidth="1"/>
    <col min="11532" max="11532" width="1.5" style="1" customWidth="1"/>
    <col min="11533" max="11533" width="13.25" style="1" customWidth="1"/>
    <col min="11534" max="11536" width="12.25" style="1" customWidth="1"/>
    <col min="11537" max="11537" width="10.25" style="1" bestFit="1" customWidth="1"/>
    <col min="11538" max="11538" width="9.25" style="1" bestFit="1" customWidth="1"/>
    <col min="11539" max="11539" width="10.5" style="1" bestFit="1" customWidth="1"/>
    <col min="11540" max="11540" width="10" style="1" bestFit="1" customWidth="1"/>
    <col min="11541" max="11776" width="9" style="1"/>
    <col min="11777" max="11777" width="1.5" style="1" customWidth="1"/>
    <col min="11778" max="11778" width="2.125" style="1" customWidth="1"/>
    <col min="11779" max="11779" width="2.5" style="1" customWidth="1"/>
    <col min="11780" max="11780" width="1.625" style="1" customWidth="1"/>
    <col min="11781" max="11781" width="6.625" style="1" customWidth="1"/>
    <col min="11782" max="11782" width="7.625" style="1" customWidth="1"/>
    <col min="11783" max="11783" width="1.75" style="1" customWidth="1"/>
    <col min="11784" max="11784" width="12.25" style="1" customWidth="1"/>
    <col min="11785" max="11786" width="1.5" style="1" customWidth="1"/>
    <col min="11787" max="11787" width="12.25" style="1" customWidth="1"/>
    <col min="11788" max="11788" width="1.5" style="1" customWidth="1"/>
    <col min="11789" max="11789" width="13.25" style="1" customWidth="1"/>
    <col min="11790" max="11792" width="12.25" style="1" customWidth="1"/>
    <col min="11793" max="11793" width="10.25" style="1" bestFit="1" customWidth="1"/>
    <col min="11794" max="11794" width="9.25" style="1" bestFit="1" customWidth="1"/>
    <col min="11795" max="11795" width="10.5" style="1" bestFit="1" customWidth="1"/>
    <col min="11796" max="11796" width="10" style="1" bestFit="1" customWidth="1"/>
    <col min="11797" max="12032" width="9" style="1"/>
    <col min="12033" max="12033" width="1.5" style="1" customWidth="1"/>
    <col min="12034" max="12034" width="2.125" style="1" customWidth="1"/>
    <col min="12035" max="12035" width="2.5" style="1" customWidth="1"/>
    <col min="12036" max="12036" width="1.625" style="1" customWidth="1"/>
    <col min="12037" max="12037" width="6.625" style="1" customWidth="1"/>
    <col min="12038" max="12038" width="7.625" style="1" customWidth="1"/>
    <col min="12039" max="12039" width="1.75" style="1" customWidth="1"/>
    <col min="12040" max="12040" width="12.25" style="1" customWidth="1"/>
    <col min="12041" max="12042" width="1.5" style="1" customWidth="1"/>
    <col min="12043" max="12043" width="12.25" style="1" customWidth="1"/>
    <col min="12044" max="12044" width="1.5" style="1" customWidth="1"/>
    <col min="12045" max="12045" width="13.25" style="1" customWidth="1"/>
    <col min="12046" max="12048" width="12.25" style="1" customWidth="1"/>
    <col min="12049" max="12049" width="10.25" style="1" bestFit="1" customWidth="1"/>
    <col min="12050" max="12050" width="9.25" style="1" bestFit="1" customWidth="1"/>
    <col min="12051" max="12051" width="10.5" style="1" bestFit="1" customWidth="1"/>
    <col min="12052" max="12052" width="10" style="1" bestFit="1" customWidth="1"/>
    <col min="12053" max="12288" width="9" style="1"/>
    <col min="12289" max="12289" width="1.5" style="1" customWidth="1"/>
    <col min="12290" max="12290" width="2.125" style="1" customWidth="1"/>
    <col min="12291" max="12291" width="2.5" style="1" customWidth="1"/>
    <col min="12292" max="12292" width="1.625" style="1" customWidth="1"/>
    <col min="12293" max="12293" width="6.625" style="1" customWidth="1"/>
    <col min="12294" max="12294" width="7.625" style="1" customWidth="1"/>
    <col min="12295" max="12295" width="1.75" style="1" customWidth="1"/>
    <col min="12296" max="12296" width="12.25" style="1" customWidth="1"/>
    <col min="12297" max="12298" width="1.5" style="1" customWidth="1"/>
    <col min="12299" max="12299" width="12.25" style="1" customWidth="1"/>
    <col min="12300" max="12300" width="1.5" style="1" customWidth="1"/>
    <col min="12301" max="12301" width="13.25" style="1" customWidth="1"/>
    <col min="12302" max="12304" width="12.25" style="1" customWidth="1"/>
    <col min="12305" max="12305" width="10.25" style="1" bestFit="1" customWidth="1"/>
    <col min="12306" max="12306" width="9.25" style="1" bestFit="1" customWidth="1"/>
    <col min="12307" max="12307" width="10.5" style="1" bestFit="1" customWidth="1"/>
    <col min="12308" max="12308" width="10" style="1" bestFit="1" customWidth="1"/>
    <col min="12309" max="12544" width="9" style="1"/>
    <col min="12545" max="12545" width="1.5" style="1" customWidth="1"/>
    <col min="12546" max="12546" width="2.125" style="1" customWidth="1"/>
    <col min="12547" max="12547" width="2.5" style="1" customWidth="1"/>
    <col min="12548" max="12548" width="1.625" style="1" customWidth="1"/>
    <col min="12549" max="12549" width="6.625" style="1" customWidth="1"/>
    <col min="12550" max="12550" width="7.625" style="1" customWidth="1"/>
    <col min="12551" max="12551" width="1.75" style="1" customWidth="1"/>
    <col min="12552" max="12552" width="12.25" style="1" customWidth="1"/>
    <col min="12553" max="12554" width="1.5" style="1" customWidth="1"/>
    <col min="12555" max="12555" width="12.25" style="1" customWidth="1"/>
    <col min="12556" max="12556" width="1.5" style="1" customWidth="1"/>
    <col min="12557" max="12557" width="13.25" style="1" customWidth="1"/>
    <col min="12558" max="12560" width="12.25" style="1" customWidth="1"/>
    <col min="12561" max="12561" width="10.25" style="1" bestFit="1" customWidth="1"/>
    <col min="12562" max="12562" width="9.25" style="1" bestFit="1" customWidth="1"/>
    <col min="12563" max="12563" width="10.5" style="1" bestFit="1" customWidth="1"/>
    <col min="12564" max="12564" width="10" style="1" bestFit="1" customWidth="1"/>
    <col min="12565" max="12800" width="9" style="1"/>
    <col min="12801" max="12801" width="1.5" style="1" customWidth="1"/>
    <col min="12802" max="12802" width="2.125" style="1" customWidth="1"/>
    <col min="12803" max="12803" width="2.5" style="1" customWidth="1"/>
    <col min="12804" max="12804" width="1.625" style="1" customWidth="1"/>
    <col min="12805" max="12805" width="6.625" style="1" customWidth="1"/>
    <col min="12806" max="12806" width="7.625" style="1" customWidth="1"/>
    <col min="12807" max="12807" width="1.75" style="1" customWidth="1"/>
    <col min="12808" max="12808" width="12.25" style="1" customWidth="1"/>
    <col min="12809" max="12810" width="1.5" style="1" customWidth="1"/>
    <col min="12811" max="12811" width="12.25" style="1" customWidth="1"/>
    <col min="12812" max="12812" width="1.5" style="1" customWidth="1"/>
    <col min="12813" max="12813" width="13.25" style="1" customWidth="1"/>
    <col min="12814" max="12816" width="12.25" style="1" customWidth="1"/>
    <col min="12817" max="12817" width="10.25" style="1" bestFit="1" customWidth="1"/>
    <col min="12818" max="12818" width="9.25" style="1" bestFit="1" customWidth="1"/>
    <col min="12819" max="12819" width="10.5" style="1" bestFit="1" customWidth="1"/>
    <col min="12820" max="12820" width="10" style="1" bestFit="1" customWidth="1"/>
    <col min="12821" max="13056" width="9" style="1"/>
    <col min="13057" max="13057" width="1.5" style="1" customWidth="1"/>
    <col min="13058" max="13058" width="2.125" style="1" customWidth="1"/>
    <col min="13059" max="13059" width="2.5" style="1" customWidth="1"/>
    <col min="13060" max="13060" width="1.625" style="1" customWidth="1"/>
    <col min="13061" max="13061" width="6.625" style="1" customWidth="1"/>
    <col min="13062" max="13062" width="7.625" style="1" customWidth="1"/>
    <col min="13063" max="13063" width="1.75" style="1" customWidth="1"/>
    <col min="13064" max="13064" width="12.25" style="1" customWidth="1"/>
    <col min="13065" max="13066" width="1.5" style="1" customWidth="1"/>
    <col min="13067" max="13067" width="12.25" style="1" customWidth="1"/>
    <col min="13068" max="13068" width="1.5" style="1" customWidth="1"/>
    <col min="13069" max="13069" width="13.25" style="1" customWidth="1"/>
    <col min="13070" max="13072" width="12.25" style="1" customWidth="1"/>
    <col min="13073" max="13073" width="10.25" style="1" bestFit="1" customWidth="1"/>
    <col min="13074" max="13074" width="9.25" style="1" bestFit="1" customWidth="1"/>
    <col min="13075" max="13075" width="10.5" style="1" bestFit="1" customWidth="1"/>
    <col min="13076" max="13076" width="10" style="1" bestFit="1" customWidth="1"/>
    <col min="13077" max="13312" width="9" style="1"/>
    <col min="13313" max="13313" width="1.5" style="1" customWidth="1"/>
    <col min="13314" max="13314" width="2.125" style="1" customWidth="1"/>
    <col min="13315" max="13315" width="2.5" style="1" customWidth="1"/>
    <col min="13316" max="13316" width="1.625" style="1" customWidth="1"/>
    <col min="13317" max="13317" width="6.625" style="1" customWidth="1"/>
    <col min="13318" max="13318" width="7.625" style="1" customWidth="1"/>
    <col min="13319" max="13319" width="1.75" style="1" customWidth="1"/>
    <col min="13320" max="13320" width="12.25" style="1" customWidth="1"/>
    <col min="13321" max="13322" width="1.5" style="1" customWidth="1"/>
    <col min="13323" max="13323" width="12.25" style="1" customWidth="1"/>
    <col min="13324" max="13324" width="1.5" style="1" customWidth="1"/>
    <col min="13325" max="13325" width="13.25" style="1" customWidth="1"/>
    <col min="13326" max="13328" width="12.25" style="1" customWidth="1"/>
    <col min="13329" max="13329" width="10.25" style="1" bestFit="1" customWidth="1"/>
    <col min="13330" max="13330" width="9.25" style="1" bestFit="1" customWidth="1"/>
    <col min="13331" max="13331" width="10.5" style="1" bestFit="1" customWidth="1"/>
    <col min="13332" max="13332" width="10" style="1" bestFit="1" customWidth="1"/>
    <col min="13333" max="13568" width="9" style="1"/>
    <col min="13569" max="13569" width="1.5" style="1" customWidth="1"/>
    <col min="13570" max="13570" width="2.125" style="1" customWidth="1"/>
    <col min="13571" max="13571" width="2.5" style="1" customWidth="1"/>
    <col min="13572" max="13572" width="1.625" style="1" customWidth="1"/>
    <col min="13573" max="13573" width="6.625" style="1" customWidth="1"/>
    <col min="13574" max="13574" width="7.625" style="1" customWidth="1"/>
    <col min="13575" max="13575" width="1.75" style="1" customWidth="1"/>
    <col min="13576" max="13576" width="12.25" style="1" customWidth="1"/>
    <col min="13577" max="13578" width="1.5" style="1" customWidth="1"/>
    <col min="13579" max="13579" width="12.25" style="1" customWidth="1"/>
    <col min="13580" max="13580" width="1.5" style="1" customWidth="1"/>
    <col min="13581" max="13581" width="13.25" style="1" customWidth="1"/>
    <col min="13582" max="13584" width="12.25" style="1" customWidth="1"/>
    <col min="13585" max="13585" width="10.25" style="1" bestFit="1" customWidth="1"/>
    <col min="13586" max="13586" width="9.25" style="1" bestFit="1" customWidth="1"/>
    <col min="13587" max="13587" width="10.5" style="1" bestFit="1" customWidth="1"/>
    <col min="13588" max="13588" width="10" style="1" bestFit="1" customWidth="1"/>
    <col min="13589" max="13824" width="9" style="1"/>
    <col min="13825" max="13825" width="1.5" style="1" customWidth="1"/>
    <col min="13826" max="13826" width="2.125" style="1" customWidth="1"/>
    <col min="13827" max="13827" width="2.5" style="1" customWidth="1"/>
    <col min="13828" max="13828" width="1.625" style="1" customWidth="1"/>
    <col min="13829" max="13829" width="6.625" style="1" customWidth="1"/>
    <col min="13830" max="13830" width="7.625" style="1" customWidth="1"/>
    <col min="13831" max="13831" width="1.75" style="1" customWidth="1"/>
    <col min="13832" max="13832" width="12.25" style="1" customWidth="1"/>
    <col min="13833" max="13834" width="1.5" style="1" customWidth="1"/>
    <col min="13835" max="13835" width="12.25" style="1" customWidth="1"/>
    <col min="13836" max="13836" width="1.5" style="1" customWidth="1"/>
    <col min="13837" max="13837" width="13.25" style="1" customWidth="1"/>
    <col min="13838" max="13840" width="12.25" style="1" customWidth="1"/>
    <col min="13841" max="13841" width="10.25" style="1" bestFit="1" customWidth="1"/>
    <col min="13842" max="13842" width="9.25" style="1" bestFit="1" customWidth="1"/>
    <col min="13843" max="13843" width="10.5" style="1" bestFit="1" customWidth="1"/>
    <col min="13844" max="13844" width="10" style="1" bestFit="1" customWidth="1"/>
    <col min="13845" max="14080" width="9" style="1"/>
    <col min="14081" max="14081" width="1.5" style="1" customWidth="1"/>
    <col min="14082" max="14082" width="2.125" style="1" customWidth="1"/>
    <col min="14083" max="14083" width="2.5" style="1" customWidth="1"/>
    <col min="14084" max="14084" width="1.625" style="1" customWidth="1"/>
    <col min="14085" max="14085" width="6.625" style="1" customWidth="1"/>
    <col min="14086" max="14086" width="7.625" style="1" customWidth="1"/>
    <col min="14087" max="14087" width="1.75" style="1" customWidth="1"/>
    <col min="14088" max="14088" width="12.25" style="1" customWidth="1"/>
    <col min="14089" max="14090" width="1.5" style="1" customWidth="1"/>
    <col min="14091" max="14091" width="12.25" style="1" customWidth="1"/>
    <col min="14092" max="14092" width="1.5" style="1" customWidth="1"/>
    <col min="14093" max="14093" width="13.25" style="1" customWidth="1"/>
    <col min="14094" max="14096" width="12.25" style="1" customWidth="1"/>
    <col min="14097" max="14097" width="10.25" style="1" bestFit="1" customWidth="1"/>
    <col min="14098" max="14098" width="9.25" style="1" bestFit="1" customWidth="1"/>
    <col min="14099" max="14099" width="10.5" style="1" bestFit="1" customWidth="1"/>
    <col min="14100" max="14100" width="10" style="1" bestFit="1" customWidth="1"/>
    <col min="14101" max="14336" width="9" style="1"/>
    <col min="14337" max="14337" width="1.5" style="1" customWidth="1"/>
    <col min="14338" max="14338" width="2.125" style="1" customWidth="1"/>
    <col min="14339" max="14339" width="2.5" style="1" customWidth="1"/>
    <col min="14340" max="14340" width="1.625" style="1" customWidth="1"/>
    <col min="14341" max="14341" width="6.625" style="1" customWidth="1"/>
    <col min="14342" max="14342" width="7.625" style="1" customWidth="1"/>
    <col min="14343" max="14343" width="1.75" style="1" customWidth="1"/>
    <col min="14344" max="14344" width="12.25" style="1" customWidth="1"/>
    <col min="14345" max="14346" width="1.5" style="1" customWidth="1"/>
    <col min="14347" max="14347" width="12.25" style="1" customWidth="1"/>
    <col min="14348" max="14348" width="1.5" style="1" customWidth="1"/>
    <col min="14349" max="14349" width="13.25" style="1" customWidth="1"/>
    <col min="14350" max="14352" width="12.25" style="1" customWidth="1"/>
    <col min="14353" max="14353" width="10.25" style="1" bestFit="1" customWidth="1"/>
    <col min="14354" max="14354" width="9.25" style="1" bestFit="1" customWidth="1"/>
    <col min="14355" max="14355" width="10.5" style="1" bestFit="1" customWidth="1"/>
    <col min="14356" max="14356" width="10" style="1" bestFit="1" customWidth="1"/>
    <col min="14357" max="14592" width="9" style="1"/>
    <col min="14593" max="14593" width="1.5" style="1" customWidth="1"/>
    <col min="14594" max="14594" width="2.125" style="1" customWidth="1"/>
    <col min="14595" max="14595" width="2.5" style="1" customWidth="1"/>
    <col min="14596" max="14596" width="1.625" style="1" customWidth="1"/>
    <col min="14597" max="14597" width="6.625" style="1" customWidth="1"/>
    <col min="14598" max="14598" width="7.625" style="1" customWidth="1"/>
    <col min="14599" max="14599" width="1.75" style="1" customWidth="1"/>
    <col min="14600" max="14600" width="12.25" style="1" customWidth="1"/>
    <col min="14601" max="14602" width="1.5" style="1" customWidth="1"/>
    <col min="14603" max="14603" width="12.25" style="1" customWidth="1"/>
    <col min="14604" max="14604" width="1.5" style="1" customWidth="1"/>
    <col min="14605" max="14605" width="13.25" style="1" customWidth="1"/>
    <col min="14606" max="14608" width="12.25" style="1" customWidth="1"/>
    <col min="14609" max="14609" width="10.25" style="1" bestFit="1" customWidth="1"/>
    <col min="14610" max="14610" width="9.25" style="1" bestFit="1" customWidth="1"/>
    <col min="14611" max="14611" width="10.5" style="1" bestFit="1" customWidth="1"/>
    <col min="14612" max="14612" width="10" style="1" bestFit="1" customWidth="1"/>
    <col min="14613" max="14848" width="9" style="1"/>
    <col min="14849" max="14849" width="1.5" style="1" customWidth="1"/>
    <col min="14850" max="14850" width="2.125" style="1" customWidth="1"/>
    <col min="14851" max="14851" width="2.5" style="1" customWidth="1"/>
    <col min="14852" max="14852" width="1.625" style="1" customWidth="1"/>
    <col min="14853" max="14853" width="6.625" style="1" customWidth="1"/>
    <col min="14854" max="14854" width="7.625" style="1" customWidth="1"/>
    <col min="14855" max="14855" width="1.75" style="1" customWidth="1"/>
    <col min="14856" max="14856" width="12.25" style="1" customWidth="1"/>
    <col min="14857" max="14858" width="1.5" style="1" customWidth="1"/>
    <col min="14859" max="14859" width="12.25" style="1" customWidth="1"/>
    <col min="14860" max="14860" width="1.5" style="1" customWidth="1"/>
    <col min="14861" max="14861" width="13.25" style="1" customWidth="1"/>
    <col min="14862" max="14864" width="12.25" style="1" customWidth="1"/>
    <col min="14865" max="14865" width="10.25" style="1" bestFit="1" customWidth="1"/>
    <col min="14866" max="14866" width="9.25" style="1" bestFit="1" customWidth="1"/>
    <col min="14867" max="14867" width="10.5" style="1" bestFit="1" customWidth="1"/>
    <col min="14868" max="14868" width="10" style="1" bestFit="1" customWidth="1"/>
    <col min="14869" max="15104" width="9" style="1"/>
    <col min="15105" max="15105" width="1.5" style="1" customWidth="1"/>
    <col min="15106" max="15106" width="2.125" style="1" customWidth="1"/>
    <col min="15107" max="15107" width="2.5" style="1" customWidth="1"/>
    <col min="15108" max="15108" width="1.625" style="1" customWidth="1"/>
    <col min="15109" max="15109" width="6.625" style="1" customWidth="1"/>
    <col min="15110" max="15110" width="7.625" style="1" customWidth="1"/>
    <col min="15111" max="15111" width="1.75" style="1" customWidth="1"/>
    <col min="15112" max="15112" width="12.25" style="1" customWidth="1"/>
    <col min="15113" max="15114" width="1.5" style="1" customWidth="1"/>
    <col min="15115" max="15115" width="12.25" style="1" customWidth="1"/>
    <col min="15116" max="15116" width="1.5" style="1" customWidth="1"/>
    <col min="15117" max="15117" width="13.25" style="1" customWidth="1"/>
    <col min="15118" max="15120" width="12.25" style="1" customWidth="1"/>
    <col min="15121" max="15121" width="10.25" style="1" bestFit="1" customWidth="1"/>
    <col min="15122" max="15122" width="9.25" style="1" bestFit="1" customWidth="1"/>
    <col min="15123" max="15123" width="10.5" style="1" bestFit="1" customWidth="1"/>
    <col min="15124" max="15124" width="10" style="1" bestFit="1" customWidth="1"/>
    <col min="15125" max="15360" width="9" style="1"/>
    <col min="15361" max="15361" width="1.5" style="1" customWidth="1"/>
    <col min="15362" max="15362" width="2.125" style="1" customWidth="1"/>
    <col min="15363" max="15363" width="2.5" style="1" customWidth="1"/>
    <col min="15364" max="15364" width="1.625" style="1" customWidth="1"/>
    <col min="15365" max="15365" width="6.625" style="1" customWidth="1"/>
    <col min="15366" max="15366" width="7.625" style="1" customWidth="1"/>
    <col min="15367" max="15367" width="1.75" style="1" customWidth="1"/>
    <col min="15368" max="15368" width="12.25" style="1" customWidth="1"/>
    <col min="15369" max="15370" width="1.5" style="1" customWidth="1"/>
    <col min="15371" max="15371" width="12.25" style="1" customWidth="1"/>
    <col min="15372" max="15372" width="1.5" style="1" customWidth="1"/>
    <col min="15373" max="15373" width="13.25" style="1" customWidth="1"/>
    <col min="15374" max="15376" width="12.25" style="1" customWidth="1"/>
    <col min="15377" max="15377" width="10.25" style="1" bestFit="1" customWidth="1"/>
    <col min="15378" max="15378" width="9.25" style="1" bestFit="1" customWidth="1"/>
    <col min="15379" max="15379" width="10.5" style="1" bestFit="1" customWidth="1"/>
    <col min="15380" max="15380" width="10" style="1" bestFit="1" customWidth="1"/>
    <col min="15381" max="15616" width="9" style="1"/>
    <col min="15617" max="15617" width="1.5" style="1" customWidth="1"/>
    <col min="15618" max="15618" width="2.125" style="1" customWidth="1"/>
    <col min="15619" max="15619" width="2.5" style="1" customWidth="1"/>
    <col min="15620" max="15620" width="1.625" style="1" customWidth="1"/>
    <col min="15621" max="15621" width="6.625" style="1" customWidth="1"/>
    <col min="15622" max="15622" width="7.625" style="1" customWidth="1"/>
    <col min="15623" max="15623" width="1.75" style="1" customWidth="1"/>
    <col min="15624" max="15624" width="12.25" style="1" customWidth="1"/>
    <col min="15625" max="15626" width="1.5" style="1" customWidth="1"/>
    <col min="15627" max="15627" width="12.25" style="1" customWidth="1"/>
    <col min="15628" max="15628" width="1.5" style="1" customWidth="1"/>
    <col min="15629" max="15629" width="13.25" style="1" customWidth="1"/>
    <col min="15630" max="15632" width="12.25" style="1" customWidth="1"/>
    <col min="15633" max="15633" width="10.25" style="1" bestFit="1" customWidth="1"/>
    <col min="15634" max="15634" width="9.25" style="1" bestFit="1" customWidth="1"/>
    <col min="15635" max="15635" width="10.5" style="1" bestFit="1" customWidth="1"/>
    <col min="15636" max="15636" width="10" style="1" bestFit="1" customWidth="1"/>
    <col min="15637" max="15872" width="9" style="1"/>
    <col min="15873" max="15873" width="1.5" style="1" customWidth="1"/>
    <col min="15874" max="15874" width="2.125" style="1" customWidth="1"/>
    <col min="15875" max="15875" width="2.5" style="1" customWidth="1"/>
    <col min="15876" max="15876" width="1.625" style="1" customWidth="1"/>
    <col min="15877" max="15877" width="6.625" style="1" customWidth="1"/>
    <col min="15878" max="15878" width="7.625" style="1" customWidth="1"/>
    <col min="15879" max="15879" width="1.75" style="1" customWidth="1"/>
    <col min="15880" max="15880" width="12.25" style="1" customWidth="1"/>
    <col min="15881" max="15882" width="1.5" style="1" customWidth="1"/>
    <col min="15883" max="15883" width="12.25" style="1" customWidth="1"/>
    <col min="15884" max="15884" width="1.5" style="1" customWidth="1"/>
    <col min="15885" max="15885" width="13.25" style="1" customWidth="1"/>
    <col min="15886" max="15888" width="12.25" style="1" customWidth="1"/>
    <col min="15889" max="15889" width="10.25" style="1" bestFit="1" customWidth="1"/>
    <col min="15890" max="15890" width="9.25" style="1" bestFit="1" customWidth="1"/>
    <col min="15891" max="15891" width="10.5" style="1" bestFit="1" customWidth="1"/>
    <col min="15892" max="15892" width="10" style="1" bestFit="1" customWidth="1"/>
    <col min="15893" max="16128" width="9" style="1"/>
    <col min="16129" max="16129" width="1.5" style="1" customWidth="1"/>
    <col min="16130" max="16130" width="2.125" style="1" customWidth="1"/>
    <col min="16131" max="16131" width="2.5" style="1" customWidth="1"/>
    <col min="16132" max="16132" width="1.625" style="1" customWidth="1"/>
    <col min="16133" max="16133" width="6.625" style="1" customWidth="1"/>
    <col min="16134" max="16134" width="7.625" style="1" customWidth="1"/>
    <col min="16135" max="16135" width="1.75" style="1" customWidth="1"/>
    <col min="16136" max="16136" width="12.25" style="1" customWidth="1"/>
    <col min="16137" max="16138" width="1.5" style="1" customWidth="1"/>
    <col min="16139" max="16139" width="12.25" style="1" customWidth="1"/>
    <col min="16140" max="16140" width="1.5" style="1" customWidth="1"/>
    <col min="16141" max="16141" width="13.25" style="1" customWidth="1"/>
    <col min="16142" max="16144" width="12.25" style="1" customWidth="1"/>
    <col min="16145" max="16145" width="10.25" style="1" bestFit="1" customWidth="1"/>
    <col min="16146" max="16146" width="9.25" style="1" bestFit="1" customWidth="1"/>
    <col min="16147" max="16147" width="10.5" style="1" bestFit="1" customWidth="1"/>
    <col min="16148" max="16148" width="10" style="1" bestFit="1" customWidth="1"/>
    <col min="16149" max="16384" width="9" style="1"/>
  </cols>
  <sheetData>
    <row r="1" spans="1:20" ht="27.75" customHeight="1" x14ac:dyDescent="0.15">
      <c r="A1" s="346" t="s">
        <v>231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</row>
    <row r="2" spans="1:20" ht="18" customHeight="1" x14ac:dyDescent="0.15">
      <c r="A2" s="347" t="s">
        <v>230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</row>
    <row r="3" spans="1:20" ht="15" customHeight="1" thickBot="1" x14ac:dyDescent="0.2">
      <c r="A3" s="348"/>
      <c r="B3" s="349"/>
      <c r="C3" s="349"/>
      <c r="D3" s="349"/>
      <c r="E3" s="349"/>
      <c r="F3" s="349"/>
      <c r="G3" s="349"/>
      <c r="H3" s="1"/>
      <c r="I3" s="1"/>
      <c r="J3" s="1"/>
      <c r="K3" s="1"/>
      <c r="L3" s="1"/>
      <c r="M3" s="6"/>
      <c r="N3" s="6"/>
      <c r="O3" s="6"/>
      <c r="P3" s="7" t="s">
        <v>0</v>
      </c>
      <c r="Q3" s="7"/>
    </row>
    <row r="4" spans="1:20" ht="14.25" customHeight="1" x14ac:dyDescent="0.15">
      <c r="A4" s="350" t="s">
        <v>1</v>
      </c>
      <c r="B4" s="351"/>
      <c r="C4" s="351"/>
      <c r="D4" s="351"/>
      <c r="E4" s="351"/>
      <c r="F4" s="352"/>
      <c r="G4" s="356" t="s">
        <v>2</v>
      </c>
      <c r="H4" s="351"/>
      <c r="I4" s="352"/>
      <c r="J4" s="356" t="s">
        <v>3</v>
      </c>
      <c r="K4" s="351"/>
      <c r="L4" s="351"/>
      <c r="M4" s="379" t="s">
        <v>4</v>
      </c>
      <c r="N4" s="361" t="s">
        <v>5</v>
      </c>
      <c r="O4" s="361"/>
      <c r="P4" s="362" t="s">
        <v>115</v>
      </c>
    </row>
    <row r="5" spans="1:20" ht="14.25" customHeight="1" thickBot="1" x14ac:dyDescent="0.2">
      <c r="A5" s="353"/>
      <c r="B5" s="354"/>
      <c r="C5" s="354"/>
      <c r="D5" s="354"/>
      <c r="E5" s="354"/>
      <c r="F5" s="355"/>
      <c r="G5" s="357"/>
      <c r="H5" s="354"/>
      <c r="I5" s="355"/>
      <c r="J5" s="357"/>
      <c r="K5" s="354"/>
      <c r="L5" s="354"/>
      <c r="M5" s="380"/>
      <c r="N5" s="14" t="s">
        <v>13</v>
      </c>
      <c r="O5" s="14" t="s">
        <v>14</v>
      </c>
      <c r="P5" s="363"/>
      <c r="Q5" s="147"/>
      <c r="R5" s="147"/>
      <c r="S5" s="147"/>
      <c r="T5" s="147"/>
    </row>
    <row r="6" spans="1:20" ht="18" customHeight="1" x14ac:dyDescent="0.15">
      <c r="A6" s="381" t="s">
        <v>15</v>
      </c>
      <c r="B6" s="382"/>
      <c r="C6" s="382"/>
      <c r="D6" s="382"/>
      <c r="E6" s="382"/>
      <c r="F6" s="383"/>
      <c r="G6" s="15"/>
      <c r="H6" s="16"/>
      <c r="I6" s="17"/>
      <c r="J6" s="15"/>
      <c r="K6" s="16"/>
      <c r="L6" s="17"/>
      <c r="M6" s="148"/>
      <c r="N6" s="22"/>
      <c r="O6" s="22"/>
      <c r="P6" s="23"/>
    </row>
    <row r="7" spans="1:20" ht="18" customHeight="1" x14ac:dyDescent="0.15">
      <c r="A7" s="149"/>
      <c r="B7" s="40" t="s">
        <v>16</v>
      </c>
      <c r="C7" s="150"/>
      <c r="D7" s="151"/>
      <c r="F7" s="40"/>
      <c r="G7" s="29"/>
      <c r="H7" s="30"/>
      <c r="I7" s="31"/>
      <c r="J7" s="29"/>
      <c r="K7" s="30"/>
      <c r="L7" s="31"/>
      <c r="M7" s="152"/>
      <c r="N7" s="36"/>
      <c r="O7" s="36"/>
      <c r="P7" s="37"/>
    </row>
    <row r="8" spans="1:20" ht="18" customHeight="1" x14ac:dyDescent="0.15">
      <c r="A8" s="149"/>
      <c r="B8" s="40" t="s">
        <v>17</v>
      </c>
      <c r="C8" s="153"/>
      <c r="D8" s="151"/>
      <c r="E8" s="40"/>
      <c r="F8" s="40"/>
      <c r="G8" s="29"/>
      <c r="H8" s="30"/>
      <c r="I8" s="31"/>
      <c r="J8" s="29"/>
      <c r="K8" s="30"/>
      <c r="L8" s="31"/>
      <c r="M8" s="152"/>
      <c r="N8" s="36"/>
      <c r="O8" s="36"/>
      <c r="P8" s="37"/>
    </row>
    <row r="9" spans="1:20" ht="18" customHeight="1" x14ac:dyDescent="0.15">
      <c r="A9" s="39"/>
      <c r="B9" s="40" t="s">
        <v>18</v>
      </c>
      <c r="C9" s="41"/>
      <c r="D9" s="42"/>
      <c r="E9" s="43"/>
      <c r="F9" s="40"/>
      <c r="G9" s="29" t="s">
        <v>19</v>
      </c>
      <c r="H9" s="30">
        <v>1000</v>
      </c>
      <c r="I9" s="31" t="s">
        <v>20</v>
      </c>
      <c r="J9" s="29" t="s">
        <v>21</v>
      </c>
      <c r="K9" s="44">
        <f>K10</f>
        <v>1000</v>
      </c>
      <c r="L9" s="31" t="s">
        <v>22</v>
      </c>
      <c r="M9" s="154"/>
      <c r="N9" s="46"/>
      <c r="O9" s="46"/>
      <c r="P9" s="47"/>
    </row>
    <row r="10" spans="1:20" ht="18" customHeight="1" x14ac:dyDescent="0.15">
      <c r="A10" s="39"/>
      <c r="B10" s="48"/>
      <c r="C10" s="40" t="s">
        <v>23</v>
      </c>
      <c r="D10" s="42"/>
      <c r="E10" s="40"/>
      <c r="G10" s="49"/>
      <c r="H10" s="44">
        <v>1000</v>
      </c>
      <c r="I10" s="50"/>
      <c r="J10" s="49"/>
      <c r="K10" s="30">
        <f>M10+N10+O10+P10</f>
        <v>1000</v>
      </c>
      <c r="L10" s="50"/>
      <c r="M10" s="154">
        <v>1000</v>
      </c>
      <c r="N10" s="46"/>
      <c r="O10" s="46"/>
      <c r="P10" s="47"/>
    </row>
    <row r="11" spans="1:20" ht="18" customHeight="1" x14ac:dyDescent="0.15">
      <c r="A11" s="39"/>
      <c r="B11" s="40" t="s">
        <v>24</v>
      </c>
      <c r="C11" s="48"/>
      <c r="D11" s="42"/>
      <c r="F11" s="40"/>
      <c r="G11" s="29" t="s">
        <v>19</v>
      </c>
      <c r="H11" s="30">
        <v>1000</v>
      </c>
      <c r="I11" s="31" t="s">
        <v>20</v>
      </c>
      <c r="J11" s="29" t="s">
        <v>21</v>
      </c>
      <c r="K11" s="30">
        <f>K12</f>
        <v>1000</v>
      </c>
      <c r="L11" s="31" t="s">
        <v>22</v>
      </c>
      <c r="M11" s="154"/>
      <c r="N11" s="46"/>
      <c r="O11" s="46"/>
      <c r="P11" s="47"/>
    </row>
    <row r="12" spans="1:20" ht="18" customHeight="1" x14ac:dyDescent="0.15">
      <c r="A12" s="54"/>
      <c r="B12" s="55"/>
      <c r="C12" s="56" t="s">
        <v>79</v>
      </c>
      <c r="D12" s="57"/>
      <c r="E12" s="56"/>
      <c r="G12" s="29"/>
      <c r="H12" s="30">
        <v>1000</v>
      </c>
      <c r="I12" s="31"/>
      <c r="J12" s="29"/>
      <c r="K12" s="30">
        <f>M12+N12+O12+P12</f>
        <v>1000</v>
      </c>
      <c r="L12" s="31"/>
      <c r="M12" s="154"/>
      <c r="N12" s="46"/>
      <c r="O12" s="46"/>
      <c r="P12" s="47">
        <v>1000</v>
      </c>
    </row>
    <row r="13" spans="1:20" ht="18" customHeight="1" x14ac:dyDescent="0.15">
      <c r="A13" s="39"/>
      <c r="B13" s="40" t="s">
        <v>25</v>
      </c>
      <c r="C13" s="40"/>
      <c r="D13" s="42"/>
      <c r="E13" s="40"/>
      <c r="F13" s="40"/>
      <c r="G13" s="29" t="s">
        <v>19</v>
      </c>
      <c r="H13" s="30">
        <v>38000000</v>
      </c>
      <c r="I13" s="31" t="s">
        <v>20</v>
      </c>
      <c r="J13" s="29" t="s">
        <v>21</v>
      </c>
      <c r="K13" s="30">
        <f>K14</f>
        <v>37000000</v>
      </c>
      <c r="L13" s="31" t="s">
        <v>22</v>
      </c>
      <c r="M13" s="154"/>
      <c r="N13" s="46"/>
      <c r="O13" s="46"/>
      <c r="P13" s="47"/>
    </row>
    <row r="14" spans="1:20" ht="18" customHeight="1" x14ac:dyDescent="0.15">
      <c r="A14" s="39"/>
      <c r="B14" s="40"/>
      <c r="C14" s="40" t="s">
        <v>26</v>
      </c>
      <c r="D14" s="42"/>
      <c r="E14" s="40"/>
      <c r="F14" s="40"/>
      <c r="G14" s="29"/>
      <c r="H14" s="30">
        <v>38000000</v>
      </c>
      <c r="I14" s="31"/>
      <c r="J14" s="29"/>
      <c r="K14" s="333">
        <v>37000000</v>
      </c>
      <c r="L14" s="31"/>
      <c r="M14" s="154">
        <v>18000000</v>
      </c>
      <c r="N14" s="46"/>
      <c r="O14" s="46">
        <v>11400000</v>
      </c>
      <c r="P14" s="47">
        <v>7600000</v>
      </c>
      <c r="Q14" s="155"/>
      <c r="R14" s="155">
        <f>SUM(M14:P14)</f>
        <v>37000000</v>
      </c>
      <c r="S14" s="155"/>
      <c r="T14" s="155"/>
    </row>
    <row r="15" spans="1:20" ht="18" customHeight="1" x14ac:dyDescent="0.15">
      <c r="A15" s="39"/>
      <c r="B15" s="40" t="s">
        <v>27</v>
      </c>
      <c r="C15" s="40"/>
      <c r="D15" s="42"/>
      <c r="E15" s="40"/>
      <c r="F15" s="40"/>
      <c r="G15" s="29" t="s">
        <v>19</v>
      </c>
      <c r="H15" s="30">
        <v>17586500</v>
      </c>
      <c r="I15" s="31" t="s">
        <v>20</v>
      </c>
      <c r="J15" s="29" t="s">
        <v>21</v>
      </c>
      <c r="K15" s="223">
        <f>SUM(K16:K20)</f>
        <v>19223600</v>
      </c>
      <c r="L15" s="31" t="s">
        <v>22</v>
      </c>
      <c r="M15" s="154"/>
      <c r="N15" s="46"/>
      <c r="O15" s="46"/>
      <c r="P15" s="47"/>
      <c r="R15" s="155">
        <f t="shared" ref="R15:R35" si="0">SUM(M15:P15)</f>
        <v>0</v>
      </c>
    </row>
    <row r="16" spans="1:20" ht="18" customHeight="1" x14ac:dyDescent="0.15">
      <c r="A16" s="58"/>
      <c r="B16" s="40"/>
      <c r="C16" s="40" t="s">
        <v>28</v>
      </c>
      <c r="D16" s="42"/>
      <c r="E16" s="40"/>
      <c r="F16" s="40"/>
      <c r="G16" s="29"/>
      <c r="H16" s="30">
        <v>3517000</v>
      </c>
      <c r="I16" s="31"/>
      <c r="J16" s="29"/>
      <c r="K16" s="223">
        <v>3517000</v>
      </c>
      <c r="L16" s="31"/>
      <c r="M16" s="154">
        <v>3517000</v>
      </c>
      <c r="N16" s="46"/>
      <c r="O16" s="46"/>
      <c r="P16" s="47"/>
      <c r="Q16" s="155"/>
      <c r="R16" s="155">
        <f t="shared" si="0"/>
        <v>3517000</v>
      </c>
      <c r="S16" s="155"/>
      <c r="T16" s="155"/>
    </row>
    <row r="17" spans="1:20" ht="18" customHeight="1" x14ac:dyDescent="0.15">
      <c r="A17" s="39"/>
      <c r="B17" s="48"/>
      <c r="C17" s="40" t="s">
        <v>29</v>
      </c>
      <c r="D17" s="42"/>
      <c r="E17" s="40"/>
      <c r="F17" s="40"/>
      <c r="G17" s="29"/>
      <c r="H17" s="30">
        <v>150000</v>
      </c>
      <c r="I17" s="31"/>
      <c r="J17" s="29"/>
      <c r="K17" s="223">
        <v>150000</v>
      </c>
      <c r="L17" s="31"/>
      <c r="M17" s="154">
        <v>150000</v>
      </c>
      <c r="N17" s="46"/>
      <c r="O17" s="46"/>
      <c r="P17" s="47"/>
      <c r="Q17" s="155"/>
      <c r="R17" s="155">
        <f t="shared" si="0"/>
        <v>150000</v>
      </c>
      <c r="S17" s="155"/>
      <c r="T17" s="155"/>
    </row>
    <row r="18" spans="1:20" ht="18" customHeight="1" x14ac:dyDescent="0.15">
      <c r="A18" s="39"/>
      <c r="B18" s="48"/>
      <c r="C18" s="40" t="s">
        <v>30</v>
      </c>
      <c r="D18" s="42"/>
      <c r="E18" s="40"/>
      <c r="F18" s="40"/>
      <c r="G18" s="29"/>
      <c r="H18" s="30">
        <v>2670000</v>
      </c>
      <c r="I18" s="31"/>
      <c r="J18" s="29"/>
      <c r="K18" s="223">
        <v>2670000</v>
      </c>
      <c r="L18" s="31"/>
      <c r="M18" s="154">
        <v>2670000</v>
      </c>
      <c r="N18" s="46"/>
      <c r="O18" s="46"/>
      <c r="P18" s="47"/>
      <c r="Q18" s="155"/>
      <c r="R18" s="155">
        <f t="shared" si="0"/>
        <v>2670000</v>
      </c>
      <c r="S18" s="155"/>
      <c r="T18" s="155"/>
    </row>
    <row r="19" spans="1:20" ht="18" customHeight="1" x14ac:dyDescent="0.15">
      <c r="A19" s="39"/>
      <c r="B19" s="48"/>
      <c r="C19" s="40" t="s">
        <v>31</v>
      </c>
      <c r="D19" s="42"/>
      <c r="E19" s="40"/>
      <c r="F19" s="40"/>
      <c r="G19" s="29"/>
      <c r="H19" s="30">
        <v>1450000</v>
      </c>
      <c r="I19" s="31"/>
      <c r="J19" s="29"/>
      <c r="K19" s="223">
        <v>1450000</v>
      </c>
      <c r="L19" s="31"/>
      <c r="M19" s="154"/>
      <c r="N19" s="46">
        <v>1450000</v>
      </c>
      <c r="O19" s="46"/>
      <c r="P19" s="59"/>
      <c r="Q19" s="155"/>
      <c r="R19" s="155">
        <f t="shared" si="0"/>
        <v>1450000</v>
      </c>
      <c r="S19" s="155"/>
      <c r="T19" s="155"/>
    </row>
    <row r="20" spans="1:20" ht="18" customHeight="1" x14ac:dyDescent="0.15">
      <c r="A20" s="39"/>
      <c r="B20" s="40"/>
      <c r="C20" s="40" t="s">
        <v>32</v>
      </c>
      <c r="D20" s="40"/>
      <c r="E20" s="40"/>
      <c r="F20" s="40"/>
      <c r="G20" s="29"/>
      <c r="H20" s="30">
        <v>9799500</v>
      </c>
      <c r="I20" s="31"/>
      <c r="J20" s="29"/>
      <c r="K20" s="223">
        <f>9799500+1637100</f>
        <v>11436600</v>
      </c>
      <c r="L20" s="31"/>
      <c r="M20" s="154"/>
      <c r="N20" s="46"/>
      <c r="O20" s="46">
        <v>9799500</v>
      </c>
      <c r="P20" s="59"/>
      <c r="Q20" s="155"/>
      <c r="R20" s="155">
        <f t="shared" si="0"/>
        <v>9799500</v>
      </c>
      <c r="S20" s="155"/>
      <c r="T20" s="155"/>
    </row>
    <row r="21" spans="1:20" ht="18" customHeight="1" x14ac:dyDescent="0.15">
      <c r="A21" s="39"/>
      <c r="B21" s="40" t="s">
        <v>33</v>
      </c>
      <c r="C21" s="40"/>
      <c r="D21" s="40"/>
      <c r="E21" s="40"/>
      <c r="F21" s="40"/>
      <c r="G21" s="29" t="s">
        <v>19</v>
      </c>
      <c r="H21" s="30">
        <v>17654100</v>
      </c>
      <c r="I21" s="31" t="s">
        <v>20</v>
      </c>
      <c r="J21" s="29" t="s">
        <v>21</v>
      </c>
      <c r="K21" s="30">
        <f>SUM(K22:K26)</f>
        <v>18570500</v>
      </c>
      <c r="L21" s="31" t="s">
        <v>22</v>
      </c>
      <c r="M21" s="154"/>
      <c r="N21" s="46"/>
      <c r="O21" s="46"/>
      <c r="P21" s="59"/>
      <c r="Q21" s="155"/>
      <c r="R21" s="155">
        <f t="shared" si="0"/>
        <v>0</v>
      </c>
      <c r="S21" s="155"/>
      <c r="T21" s="155"/>
    </row>
    <row r="22" spans="1:20" ht="18" customHeight="1" x14ac:dyDescent="0.15">
      <c r="A22" s="39"/>
      <c r="B22" s="40"/>
      <c r="C22" s="40" t="s">
        <v>103</v>
      </c>
      <c r="D22" s="40"/>
      <c r="E22" s="40"/>
      <c r="F22" s="40"/>
      <c r="G22" s="29"/>
      <c r="H22" s="30">
        <v>16640900</v>
      </c>
      <c r="I22" s="31"/>
      <c r="J22" s="29"/>
      <c r="K22" s="333">
        <v>17188800</v>
      </c>
      <c r="L22" s="31"/>
      <c r="M22" s="341">
        <v>17188800</v>
      </c>
      <c r="N22" s="46"/>
      <c r="O22" s="46"/>
      <c r="P22" s="59"/>
      <c r="Q22" s="155"/>
      <c r="R22" s="155">
        <f t="shared" si="0"/>
        <v>17188800</v>
      </c>
      <c r="S22" s="155"/>
      <c r="T22" s="155"/>
    </row>
    <row r="23" spans="1:20" ht="18" customHeight="1" x14ac:dyDescent="0.15">
      <c r="A23" s="39"/>
      <c r="B23" s="40"/>
      <c r="C23" s="40" t="s">
        <v>106</v>
      </c>
      <c r="D23" s="40"/>
      <c r="E23" s="40"/>
      <c r="F23" s="40"/>
      <c r="G23" s="29"/>
      <c r="H23" s="30">
        <v>463200</v>
      </c>
      <c r="I23" s="31"/>
      <c r="J23" s="29"/>
      <c r="K23" s="223">
        <v>463200</v>
      </c>
      <c r="L23" s="31"/>
      <c r="M23" s="154">
        <v>100000</v>
      </c>
      <c r="N23" s="46"/>
      <c r="O23" s="46"/>
      <c r="P23" s="59">
        <v>363200</v>
      </c>
      <c r="Q23" s="155"/>
      <c r="R23" s="155">
        <f t="shared" si="0"/>
        <v>463200</v>
      </c>
      <c r="S23" s="155"/>
      <c r="T23" s="155"/>
    </row>
    <row r="24" spans="1:20" ht="18" customHeight="1" x14ac:dyDescent="0.15">
      <c r="A24" s="39"/>
      <c r="B24" s="40"/>
      <c r="C24" s="372" t="s">
        <v>104</v>
      </c>
      <c r="D24" s="372"/>
      <c r="E24" s="372"/>
      <c r="F24" s="373"/>
      <c r="G24" s="29"/>
      <c r="H24" s="30">
        <v>150000</v>
      </c>
      <c r="I24" s="31"/>
      <c r="J24" s="29"/>
      <c r="K24" s="333">
        <v>518500</v>
      </c>
      <c r="L24" s="31"/>
      <c r="M24" s="154"/>
      <c r="N24" s="46"/>
      <c r="O24" s="46"/>
      <c r="P24" s="342">
        <v>518500</v>
      </c>
      <c r="Q24" s="155"/>
      <c r="R24" s="155">
        <f t="shared" si="0"/>
        <v>518500</v>
      </c>
      <c r="S24" s="155"/>
      <c r="T24" s="155"/>
    </row>
    <row r="25" spans="1:20" ht="18" customHeight="1" x14ac:dyDescent="0.15">
      <c r="A25" s="39"/>
      <c r="B25" s="40"/>
      <c r="C25" s="40" t="s">
        <v>105</v>
      </c>
      <c r="D25" s="40"/>
      <c r="E25" s="40"/>
      <c r="F25" s="40"/>
      <c r="G25" s="29"/>
      <c r="H25" s="30">
        <v>200000</v>
      </c>
      <c r="I25" s="31"/>
      <c r="J25" s="29"/>
      <c r="K25" s="223">
        <f t="shared" ref="K25" si="1">M25+N25+O25+P25</f>
        <v>200000</v>
      </c>
      <c r="L25" s="31"/>
      <c r="M25" s="154"/>
      <c r="N25" s="46"/>
      <c r="O25" s="30"/>
      <c r="P25" s="59">
        <v>200000</v>
      </c>
      <c r="Q25" s="155"/>
      <c r="R25" s="155">
        <f t="shared" si="0"/>
        <v>200000</v>
      </c>
      <c r="S25" s="155"/>
      <c r="T25" s="155"/>
    </row>
    <row r="26" spans="1:20" ht="18" customHeight="1" x14ac:dyDescent="0.15">
      <c r="A26" s="39"/>
      <c r="B26" s="40"/>
      <c r="C26" s="366" t="s">
        <v>222</v>
      </c>
      <c r="D26" s="367"/>
      <c r="E26" s="367"/>
      <c r="F26" s="368"/>
      <c r="G26" s="29"/>
      <c r="H26" s="30">
        <v>200000</v>
      </c>
      <c r="I26" s="31"/>
      <c r="J26" s="29"/>
      <c r="K26" s="223">
        <v>200000</v>
      </c>
      <c r="L26" s="31"/>
      <c r="M26" s="154">
        <v>200000</v>
      </c>
      <c r="N26" s="46"/>
      <c r="O26" s="30"/>
      <c r="P26" s="59"/>
      <c r="Q26" s="155"/>
      <c r="R26" s="155">
        <v>200000</v>
      </c>
      <c r="S26" s="155"/>
      <c r="T26" s="155"/>
    </row>
    <row r="27" spans="1:20" ht="18" customHeight="1" x14ac:dyDescent="0.15">
      <c r="A27" s="39"/>
      <c r="B27" s="40" t="s">
        <v>34</v>
      </c>
      <c r="C27" s="40"/>
      <c r="D27" s="40"/>
      <c r="E27" s="40"/>
      <c r="F27" s="40"/>
      <c r="G27" s="29" t="s">
        <v>19</v>
      </c>
      <c r="H27" s="30">
        <v>1869000</v>
      </c>
      <c r="I27" s="31" t="s">
        <v>20</v>
      </c>
      <c r="J27" s="29" t="s">
        <v>19</v>
      </c>
      <c r="K27" s="30">
        <f>SUM(K28:K29)</f>
        <v>1869000</v>
      </c>
      <c r="L27" s="31" t="s">
        <v>20</v>
      </c>
      <c r="M27" s="154"/>
      <c r="N27" s="46"/>
      <c r="O27" s="46"/>
      <c r="P27" s="59"/>
      <c r="Q27" s="155"/>
      <c r="R27" s="155">
        <f t="shared" si="0"/>
        <v>0</v>
      </c>
      <c r="S27" s="155"/>
      <c r="T27" s="155"/>
    </row>
    <row r="28" spans="1:20" ht="18" customHeight="1" x14ac:dyDescent="0.15">
      <c r="A28" s="39"/>
      <c r="B28" s="40"/>
      <c r="C28" s="40" t="s">
        <v>34</v>
      </c>
      <c r="D28" s="40"/>
      <c r="E28" s="40"/>
      <c r="F28" s="40"/>
      <c r="G28" s="29"/>
      <c r="H28" s="30">
        <v>1293000</v>
      </c>
      <c r="I28" s="31"/>
      <c r="J28" s="29"/>
      <c r="K28" s="223">
        <v>1293000</v>
      </c>
      <c r="L28" s="31"/>
      <c r="M28" s="154"/>
      <c r="N28" s="46"/>
      <c r="O28" s="46"/>
      <c r="P28" s="59">
        <v>1293000</v>
      </c>
      <c r="Q28" s="155"/>
      <c r="R28" s="155">
        <f t="shared" si="0"/>
        <v>1293000</v>
      </c>
      <c r="S28" s="155"/>
      <c r="T28" s="155"/>
    </row>
    <row r="29" spans="1:20" ht="18" customHeight="1" x14ac:dyDescent="0.15">
      <c r="A29" s="39"/>
      <c r="B29" s="40"/>
      <c r="C29" s="40" t="s">
        <v>35</v>
      </c>
      <c r="D29" s="40"/>
      <c r="E29" s="40"/>
      <c r="F29" s="40"/>
      <c r="G29" s="29"/>
      <c r="H29" s="30">
        <v>576000</v>
      </c>
      <c r="I29" s="31"/>
      <c r="J29" s="29"/>
      <c r="K29" s="223">
        <v>576000</v>
      </c>
      <c r="L29" s="31"/>
      <c r="M29" s="154"/>
      <c r="N29" s="46"/>
      <c r="O29" s="46">
        <v>576000</v>
      </c>
      <c r="P29" s="59"/>
      <c r="Q29" s="155"/>
      <c r="R29" s="155">
        <f t="shared" si="0"/>
        <v>576000</v>
      </c>
      <c r="S29" s="155"/>
      <c r="T29" s="155"/>
    </row>
    <row r="30" spans="1:20" ht="18" customHeight="1" x14ac:dyDescent="0.15">
      <c r="A30" s="39"/>
      <c r="B30" s="40" t="s">
        <v>107</v>
      </c>
      <c r="C30" s="40"/>
      <c r="D30" s="40"/>
      <c r="E30" s="40"/>
      <c r="F30" s="40"/>
      <c r="G30" s="29" t="s">
        <v>19</v>
      </c>
      <c r="H30" s="30">
        <v>0</v>
      </c>
      <c r="I30" s="31" t="s">
        <v>20</v>
      </c>
      <c r="J30" s="29" t="s">
        <v>19</v>
      </c>
      <c r="K30" s="30">
        <f>SUM(K31)</f>
        <v>0</v>
      </c>
      <c r="L30" s="31" t="s">
        <v>20</v>
      </c>
      <c r="M30" s="154"/>
      <c r="N30" s="46"/>
      <c r="O30" s="46"/>
      <c r="P30" s="59"/>
      <c r="Q30" s="155"/>
      <c r="R30" s="155">
        <f t="shared" si="0"/>
        <v>0</v>
      </c>
      <c r="S30" s="155"/>
      <c r="T30" s="155"/>
    </row>
    <row r="31" spans="1:20" ht="18" customHeight="1" x14ac:dyDescent="0.15">
      <c r="A31" s="39"/>
      <c r="B31" s="40"/>
      <c r="C31" s="40" t="s">
        <v>107</v>
      </c>
      <c r="D31" s="40"/>
      <c r="E31" s="40"/>
      <c r="F31" s="40"/>
      <c r="G31" s="29"/>
      <c r="H31" s="30">
        <v>0</v>
      </c>
      <c r="I31" s="31"/>
      <c r="J31" s="29"/>
      <c r="K31" s="30">
        <f>M31+N31+O31+P31</f>
        <v>0</v>
      </c>
      <c r="L31" s="31"/>
      <c r="M31" s="154"/>
      <c r="N31" s="46"/>
      <c r="O31" s="46"/>
      <c r="P31" s="59"/>
      <c r="Q31" s="155"/>
      <c r="R31" s="155">
        <f t="shared" si="0"/>
        <v>0</v>
      </c>
      <c r="S31" s="155"/>
      <c r="T31" s="155"/>
    </row>
    <row r="32" spans="1:20" ht="18" customHeight="1" x14ac:dyDescent="0.15">
      <c r="A32" s="39"/>
      <c r="B32" s="40" t="s">
        <v>36</v>
      </c>
      <c r="C32" s="60"/>
      <c r="D32" s="40"/>
      <c r="E32" s="40"/>
      <c r="F32" s="40"/>
      <c r="G32" s="29" t="s">
        <v>19</v>
      </c>
      <c r="H32" s="30">
        <v>221000</v>
      </c>
      <c r="I32" s="31" t="s">
        <v>20</v>
      </c>
      <c r="J32" s="29" t="s">
        <v>21</v>
      </c>
      <c r="K32" s="30">
        <f>SUM(K33:K34)</f>
        <v>221000</v>
      </c>
      <c r="L32" s="31" t="s">
        <v>22</v>
      </c>
      <c r="M32" s="154"/>
      <c r="N32" s="46"/>
      <c r="O32" s="46"/>
      <c r="P32" s="59"/>
      <c r="Q32" s="155"/>
      <c r="R32" s="155">
        <f t="shared" si="0"/>
        <v>0</v>
      </c>
      <c r="S32" s="155"/>
      <c r="T32" s="155"/>
    </row>
    <row r="33" spans="1:20" ht="18" customHeight="1" x14ac:dyDescent="0.15">
      <c r="A33" s="39"/>
      <c r="B33" s="40"/>
      <c r="C33" s="40" t="s">
        <v>37</v>
      </c>
      <c r="D33" s="40"/>
      <c r="E33" s="40"/>
      <c r="F33" s="40"/>
      <c r="G33" s="29"/>
      <c r="H33" s="30">
        <v>1000</v>
      </c>
      <c r="I33" s="31"/>
      <c r="J33" s="29"/>
      <c r="K33" s="223">
        <f t="shared" ref="K33" si="2">M33+N33+O33+P33</f>
        <v>1000</v>
      </c>
      <c r="L33" s="31"/>
      <c r="M33" s="154"/>
      <c r="N33" s="46"/>
      <c r="O33" s="46"/>
      <c r="P33" s="59">
        <v>1000</v>
      </c>
      <c r="Q33" s="155"/>
      <c r="R33" s="155">
        <f t="shared" si="0"/>
        <v>1000</v>
      </c>
      <c r="S33" s="155"/>
      <c r="T33" s="155"/>
    </row>
    <row r="34" spans="1:20" ht="18" customHeight="1" x14ac:dyDescent="0.15">
      <c r="A34" s="39"/>
      <c r="B34" s="40"/>
      <c r="C34" s="40" t="s">
        <v>36</v>
      </c>
      <c r="D34" s="40"/>
      <c r="E34" s="40"/>
      <c r="F34" s="40"/>
      <c r="G34" s="29"/>
      <c r="H34" s="30">
        <v>220000</v>
      </c>
      <c r="I34" s="31"/>
      <c r="J34" s="29"/>
      <c r="K34" s="223">
        <v>220000</v>
      </c>
      <c r="L34" s="31"/>
      <c r="M34" s="154"/>
      <c r="N34" s="46"/>
      <c r="O34" s="61"/>
      <c r="P34" s="62">
        <v>220000</v>
      </c>
      <c r="Q34" s="155"/>
      <c r="R34" s="155">
        <f t="shared" si="0"/>
        <v>220000</v>
      </c>
      <c r="S34" s="155"/>
      <c r="T34" s="155"/>
    </row>
    <row r="35" spans="1:20" ht="18" customHeight="1" x14ac:dyDescent="0.15">
      <c r="A35" s="63"/>
      <c r="B35" s="64"/>
      <c r="C35" s="65" t="s">
        <v>38</v>
      </c>
      <c r="D35" s="64"/>
      <c r="E35" s="65"/>
      <c r="F35" s="219"/>
      <c r="G35" s="66"/>
      <c r="H35" s="67">
        <f>SUM(H9,H11,H13,H15,H21,H27,H30,H32)</f>
        <v>75332600</v>
      </c>
      <c r="I35" s="68"/>
      <c r="J35" s="66"/>
      <c r="K35" s="67">
        <f>K9+K11+K13+K15+K21+K27+K30+K32</f>
        <v>76886100</v>
      </c>
      <c r="L35" s="68"/>
      <c r="M35" s="156">
        <f>SUM(M9:M34)</f>
        <v>41826800</v>
      </c>
      <c r="N35" s="73">
        <f>SUM(N9:N34)</f>
        <v>1450000</v>
      </c>
      <c r="O35" s="73">
        <f>SUM(O9:O34)</f>
        <v>21775500</v>
      </c>
      <c r="P35" s="74">
        <f>SUM(P9:P34)</f>
        <v>10196700</v>
      </c>
      <c r="Q35" s="155"/>
      <c r="R35" s="155">
        <f t="shared" si="0"/>
        <v>75249000</v>
      </c>
      <c r="S35" s="155"/>
      <c r="T35" s="155"/>
    </row>
    <row r="36" spans="1:20" ht="18" customHeight="1" x14ac:dyDescent="0.15">
      <c r="A36" s="75"/>
      <c r="B36" s="28" t="s">
        <v>39</v>
      </c>
      <c r="C36" s="76"/>
      <c r="D36" s="76"/>
      <c r="G36" s="49"/>
      <c r="H36" s="44"/>
      <c r="I36" s="50"/>
      <c r="J36" s="49"/>
      <c r="K36" s="44"/>
      <c r="L36" s="50"/>
      <c r="M36" s="157"/>
      <c r="N36" s="78"/>
      <c r="O36" s="78"/>
      <c r="P36" s="79"/>
      <c r="Q36" s="155"/>
      <c r="R36" s="155"/>
      <c r="S36" s="155"/>
      <c r="T36" s="155"/>
    </row>
    <row r="37" spans="1:20" ht="18" customHeight="1" x14ac:dyDescent="0.15">
      <c r="A37" s="58"/>
      <c r="B37" s="40" t="s">
        <v>40</v>
      </c>
      <c r="C37" s="40"/>
      <c r="D37" s="42"/>
      <c r="E37" s="40"/>
      <c r="F37" s="40"/>
      <c r="G37" s="29" t="s">
        <v>21</v>
      </c>
      <c r="H37" s="30">
        <f>SUM(H38+H51+H60+H74+H76)</f>
        <v>43745397</v>
      </c>
      <c r="I37" s="31" t="s">
        <v>20</v>
      </c>
      <c r="J37" s="29" t="s">
        <v>21</v>
      </c>
      <c r="K37" s="30">
        <f>SUM(K38+K51+K60+K74+K76)</f>
        <v>44101917</v>
      </c>
      <c r="L37" s="31" t="s">
        <v>22</v>
      </c>
      <c r="M37" s="154"/>
      <c r="N37" s="46"/>
      <c r="O37" s="46"/>
      <c r="P37" s="47"/>
      <c r="Q37" s="155"/>
      <c r="R37" s="155"/>
      <c r="S37" s="155"/>
      <c r="T37" s="155"/>
    </row>
    <row r="38" spans="1:20" ht="18" customHeight="1" x14ac:dyDescent="0.15">
      <c r="A38" s="58"/>
      <c r="B38" s="366" t="s">
        <v>41</v>
      </c>
      <c r="C38" s="367"/>
      <c r="D38" s="367"/>
      <c r="E38" s="367"/>
      <c r="F38" s="368"/>
      <c r="G38" s="29" t="s">
        <v>171</v>
      </c>
      <c r="H38" s="30">
        <f>SUM(H39:H50)</f>
        <v>17189200</v>
      </c>
      <c r="I38" s="31" t="s">
        <v>172</v>
      </c>
      <c r="J38" s="29" t="s">
        <v>171</v>
      </c>
      <c r="K38" s="30">
        <f>SUM(K39:K50)</f>
        <v>17189200</v>
      </c>
      <c r="L38" s="31" t="s">
        <v>172</v>
      </c>
      <c r="M38" s="154"/>
      <c r="N38" s="46"/>
      <c r="O38" s="46"/>
      <c r="P38" s="47"/>
      <c r="Q38" s="155"/>
      <c r="R38" s="328">
        <f>SUM(R39:R50)</f>
        <v>17189200</v>
      </c>
      <c r="S38" s="155"/>
      <c r="T38" s="155"/>
    </row>
    <row r="39" spans="1:20" ht="18" customHeight="1" x14ac:dyDescent="0.15">
      <c r="A39" s="58"/>
      <c r="B39" s="40"/>
      <c r="C39" s="40" t="s">
        <v>147</v>
      </c>
      <c r="D39" s="42"/>
      <c r="E39" s="40"/>
      <c r="F39" s="40"/>
      <c r="G39" s="29"/>
      <c r="H39" s="30">
        <v>194000</v>
      </c>
      <c r="I39" s="31"/>
      <c r="J39" s="29"/>
      <c r="K39" s="30">
        <f>M39+N39+O39+P39</f>
        <v>194000</v>
      </c>
      <c r="L39" s="31"/>
      <c r="M39" s="254">
        <v>194000</v>
      </c>
      <c r="N39" s="46"/>
      <c r="O39" s="46"/>
      <c r="P39" s="47"/>
      <c r="Q39" s="155"/>
      <c r="R39" s="155">
        <f t="shared" ref="R39:R104" si="3">SUM(M39:P39)</f>
        <v>194000</v>
      </c>
      <c r="S39" s="155"/>
      <c r="T39" s="155"/>
    </row>
    <row r="40" spans="1:20" ht="18" customHeight="1" x14ac:dyDescent="0.15">
      <c r="A40" s="58"/>
      <c r="B40" s="40"/>
      <c r="C40" s="40" t="s">
        <v>148</v>
      </c>
      <c r="D40" s="42"/>
      <c r="E40" s="40"/>
      <c r="F40" s="40"/>
      <c r="G40" s="29"/>
      <c r="H40" s="30">
        <v>611000</v>
      </c>
      <c r="I40" s="31"/>
      <c r="J40" s="29"/>
      <c r="K40" s="30">
        <v>611000</v>
      </c>
      <c r="L40" s="272"/>
      <c r="M40" s="32">
        <v>611000</v>
      </c>
      <c r="N40" s="46"/>
      <c r="O40" s="46"/>
      <c r="P40" s="47"/>
      <c r="Q40" s="155"/>
      <c r="R40" s="155">
        <f t="shared" si="3"/>
        <v>611000</v>
      </c>
      <c r="S40" s="155"/>
      <c r="T40" s="155"/>
    </row>
    <row r="41" spans="1:20" ht="18" customHeight="1" x14ac:dyDescent="0.15">
      <c r="A41" s="58"/>
      <c r="B41" s="40"/>
      <c r="C41" s="40" t="s">
        <v>149</v>
      </c>
      <c r="D41" s="42"/>
      <c r="E41" s="40"/>
      <c r="F41" s="40"/>
      <c r="G41" s="29"/>
      <c r="H41" s="30">
        <v>3092000</v>
      </c>
      <c r="I41" s="31"/>
      <c r="J41" s="29"/>
      <c r="K41" s="30">
        <v>3092000</v>
      </c>
      <c r="L41" s="272"/>
      <c r="M41" s="32">
        <v>3092000</v>
      </c>
      <c r="N41" s="46"/>
      <c r="O41" s="46"/>
      <c r="P41" s="47"/>
      <c r="Q41" s="155"/>
      <c r="R41" s="155">
        <f t="shared" si="3"/>
        <v>3092000</v>
      </c>
      <c r="S41" s="155"/>
      <c r="T41" s="155"/>
    </row>
    <row r="42" spans="1:20" ht="18" customHeight="1" x14ac:dyDescent="0.15">
      <c r="A42" s="58"/>
      <c r="B42" s="40"/>
      <c r="C42" s="40" t="s">
        <v>150</v>
      </c>
      <c r="D42" s="42"/>
      <c r="E42" s="40"/>
      <c r="F42" s="40"/>
      <c r="G42" s="29"/>
      <c r="H42" s="30">
        <v>1090000</v>
      </c>
      <c r="I42" s="31"/>
      <c r="J42" s="29"/>
      <c r="K42" s="30">
        <v>1090000</v>
      </c>
      <c r="L42" s="272"/>
      <c r="M42" s="32">
        <v>1090000</v>
      </c>
      <c r="N42" s="46"/>
      <c r="O42" s="46"/>
      <c r="P42" s="47"/>
      <c r="Q42" s="155"/>
      <c r="R42" s="155">
        <f t="shared" si="3"/>
        <v>1090000</v>
      </c>
      <c r="S42" s="155"/>
      <c r="T42" s="155"/>
    </row>
    <row r="43" spans="1:20" ht="18" customHeight="1" x14ac:dyDescent="0.15">
      <c r="A43" s="58"/>
      <c r="B43" s="40"/>
      <c r="C43" s="40" t="s">
        <v>151</v>
      </c>
      <c r="D43" s="42"/>
      <c r="E43" s="40"/>
      <c r="F43" s="40"/>
      <c r="G43" s="29"/>
      <c r="H43" s="30">
        <v>6450000</v>
      </c>
      <c r="I43" s="31"/>
      <c r="J43" s="29"/>
      <c r="K43" s="30">
        <v>6450000</v>
      </c>
      <c r="L43" s="272"/>
      <c r="M43" s="32">
        <v>6450000</v>
      </c>
      <c r="N43" s="46"/>
      <c r="O43" s="46"/>
      <c r="P43" s="47"/>
      <c r="Q43" s="155"/>
      <c r="R43" s="155">
        <f t="shared" si="3"/>
        <v>6450000</v>
      </c>
      <c r="S43" s="155"/>
      <c r="T43" s="155"/>
    </row>
    <row r="44" spans="1:20" ht="18" customHeight="1" x14ac:dyDescent="0.15">
      <c r="A44" s="58"/>
      <c r="B44" s="40"/>
      <c r="C44" s="40" t="s">
        <v>152</v>
      </c>
      <c r="D44" s="42"/>
      <c r="E44" s="40"/>
      <c r="F44" s="40"/>
      <c r="G44" s="29"/>
      <c r="H44" s="30">
        <v>320000</v>
      </c>
      <c r="I44" s="31"/>
      <c r="J44" s="29"/>
      <c r="K44" s="30">
        <v>320000</v>
      </c>
      <c r="L44" s="272"/>
      <c r="M44" s="32">
        <v>320000</v>
      </c>
      <c r="N44" s="46"/>
      <c r="O44" s="46"/>
      <c r="P44" s="47"/>
      <c r="Q44" s="155"/>
      <c r="R44" s="155">
        <f t="shared" si="3"/>
        <v>320000</v>
      </c>
      <c r="S44" s="155"/>
      <c r="T44" s="155"/>
    </row>
    <row r="45" spans="1:20" ht="18" customHeight="1" x14ac:dyDescent="0.15">
      <c r="A45" s="58"/>
      <c r="B45" s="40"/>
      <c r="C45" s="40" t="s">
        <v>153</v>
      </c>
      <c r="D45" s="42"/>
      <c r="E45" s="40"/>
      <c r="F45" s="40"/>
      <c r="G45" s="29"/>
      <c r="H45" s="30">
        <v>705000</v>
      </c>
      <c r="I45" s="31"/>
      <c r="J45" s="29"/>
      <c r="K45" s="30">
        <v>705000</v>
      </c>
      <c r="L45" s="272"/>
      <c r="M45" s="32">
        <v>705000</v>
      </c>
      <c r="N45" s="46"/>
      <c r="O45" s="46"/>
      <c r="P45" s="47"/>
      <c r="Q45" s="155"/>
      <c r="R45" s="155">
        <f t="shared" si="3"/>
        <v>705000</v>
      </c>
      <c r="S45" s="155"/>
      <c r="T45" s="155"/>
    </row>
    <row r="46" spans="1:20" ht="18" customHeight="1" x14ac:dyDescent="0.15">
      <c r="A46" s="58"/>
      <c r="B46" s="40"/>
      <c r="C46" s="40" t="s">
        <v>154</v>
      </c>
      <c r="D46" s="42"/>
      <c r="E46" s="40"/>
      <c r="F46" s="40"/>
      <c r="G46" s="29"/>
      <c r="H46" s="30">
        <v>0</v>
      </c>
      <c r="I46" s="31"/>
      <c r="J46" s="29"/>
      <c r="K46" s="30">
        <f t="shared" ref="K46" si="4">M46+N46+O46+P46</f>
        <v>0</v>
      </c>
      <c r="L46" s="272"/>
      <c r="M46" s="32">
        <v>0</v>
      </c>
      <c r="N46" s="46"/>
      <c r="O46" s="46"/>
      <c r="P46" s="47"/>
      <c r="Q46" s="155"/>
      <c r="R46" s="155">
        <f t="shared" si="3"/>
        <v>0</v>
      </c>
      <c r="S46" s="155"/>
      <c r="T46" s="155"/>
    </row>
    <row r="47" spans="1:20" ht="18" customHeight="1" x14ac:dyDescent="0.15">
      <c r="A47" s="58"/>
      <c r="B47" s="40"/>
      <c r="C47" s="40" t="s">
        <v>155</v>
      </c>
      <c r="D47" s="42"/>
      <c r="E47" s="40"/>
      <c r="F47" s="40"/>
      <c r="G47" s="29"/>
      <c r="H47" s="30">
        <v>3058000</v>
      </c>
      <c r="I47" s="31"/>
      <c r="J47" s="29"/>
      <c r="K47" s="30">
        <v>3058000</v>
      </c>
      <c r="L47" s="272"/>
      <c r="M47" s="32">
        <v>3058000</v>
      </c>
      <c r="N47" s="46"/>
      <c r="O47" s="46"/>
      <c r="P47" s="47"/>
      <c r="Q47" s="155"/>
      <c r="R47" s="155">
        <f t="shared" si="3"/>
        <v>3058000</v>
      </c>
      <c r="S47" s="155"/>
      <c r="T47" s="155"/>
    </row>
    <row r="48" spans="1:20" ht="18" customHeight="1" x14ac:dyDescent="0.15">
      <c r="A48" s="58"/>
      <c r="B48" s="40"/>
      <c r="C48" s="40" t="s">
        <v>156</v>
      </c>
      <c r="D48" s="42"/>
      <c r="E48" s="40"/>
      <c r="F48" s="40"/>
      <c r="G48" s="29"/>
      <c r="H48" s="30">
        <v>125000</v>
      </c>
      <c r="I48" s="31"/>
      <c r="J48" s="29"/>
      <c r="K48" s="30">
        <v>125000</v>
      </c>
      <c r="L48" s="272"/>
      <c r="M48" s="32">
        <v>125000</v>
      </c>
      <c r="N48" s="46"/>
      <c r="O48" s="46"/>
      <c r="P48" s="47"/>
      <c r="Q48" s="155"/>
      <c r="R48" s="155">
        <f t="shared" si="3"/>
        <v>125000</v>
      </c>
      <c r="S48" s="155"/>
      <c r="T48" s="155"/>
    </row>
    <row r="49" spans="1:21" ht="18" customHeight="1" x14ac:dyDescent="0.15">
      <c r="A49" s="58"/>
      <c r="B49" s="40"/>
      <c r="C49" s="40" t="s">
        <v>157</v>
      </c>
      <c r="D49" s="42"/>
      <c r="E49" s="40"/>
      <c r="F49" s="40"/>
      <c r="G49" s="29"/>
      <c r="H49" s="30">
        <v>190000</v>
      </c>
      <c r="I49" s="31"/>
      <c r="J49" s="29"/>
      <c r="K49" s="30">
        <v>190000</v>
      </c>
      <c r="L49" s="272"/>
      <c r="M49" s="32">
        <v>190000</v>
      </c>
      <c r="N49" s="46"/>
      <c r="O49" s="46"/>
      <c r="P49" s="47"/>
      <c r="Q49" s="155"/>
      <c r="R49" s="155">
        <f t="shared" si="3"/>
        <v>190000</v>
      </c>
      <c r="S49" s="155"/>
      <c r="T49" s="155"/>
    </row>
    <row r="50" spans="1:21" ht="18" customHeight="1" x14ac:dyDescent="0.15">
      <c r="A50" s="58"/>
      <c r="B50" s="40"/>
      <c r="C50" s="40" t="s">
        <v>158</v>
      </c>
      <c r="D50" s="42"/>
      <c r="E50" s="40"/>
      <c r="F50" s="40"/>
      <c r="G50" s="29"/>
      <c r="H50" s="30">
        <v>1354200</v>
      </c>
      <c r="I50" s="31"/>
      <c r="J50" s="29"/>
      <c r="K50" s="30">
        <v>1354200</v>
      </c>
      <c r="L50" s="272"/>
      <c r="M50" s="32">
        <v>1354200</v>
      </c>
      <c r="N50" s="46"/>
      <c r="O50" s="46"/>
      <c r="P50" s="47"/>
      <c r="Q50" s="155"/>
      <c r="R50" s="155">
        <f t="shared" si="3"/>
        <v>1354200</v>
      </c>
      <c r="S50" s="155">
        <f>SUM(R39:R50)</f>
        <v>17189200</v>
      </c>
      <c r="T50" s="155"/>
      <c r="U50" s="1">
        <v>14189200</v>
      </c>
    </row>
    <row r="51" spans="1:21" ht="18" customHeight="1" x14ac:dyDescent="0.15">
      <c r="A51" s="58"/>
      <c r="B51" s="366" t="s">
        <v>42</v>
      </c>
      <c r="C51" s="367"/>
      <c r="D51" s="367"/>
      <c r="E51" s="367"/>
      <c r="F51" s="368"/>
      <c r="G51" s="29" t="s">
        <v>171</v>
      </c>
      <c r="H51" s="30">
        <v>3052550</v>
      </c>
      <c r="I51" s="31" t="s">
        <v>172</v>
      </c>
      <c r="J51" s="29" t="s">
        <v>171</v>
      </c>
      <c r="K51" s="30">
        <f>SUM(K52:K59)</f>
        <v>3052550</v>
      </c>
      <c r="L51" s="31" t="s">
        <v>172</v>
      </c>
      <c r="M51" s="154"/>
      <c r="N51" s="46"/>
      <c r="O51" s="46"/>
      <c r="P51" s="47"/>
      <c r="Q51" s="155"/>
      <c r="R51" s="328">
        <f>SUM(R52:R59)</f>
        <v>3052550</v>
      </c>
      <c r="S51" s="155"/>
      <c r="T51" s="155"/>
    </row>
    <row r="52" spans="1:21" ht="18" customHeight="1" x14ac:dyDescent="0.15">
      <c r="A52" s="58"/>
      <c r="B52" s="40"/>
      <c r="C52" s="377" t="s">
        <v>148</v>
      </c>
      <c r="D52" s="377"/>
      <c r="E52" s="377"/>
      <c r="F52" s="220"/>
      <c r="G52" s="29"/>
      <c r="H52" s="30">
        <v>30000</v>
      </c>
      <c r="I52" s="31"/>
      <c r="J52" s="29"/>
      <c r="K52" s="30">
        <f>M52</f>
        <v>30000</v>
      </c>
      <c r="L52" s="272"/>
      <c r="M52" s="271">
        <v>30000</v>
      </c>
      <c r="N52" s="46"/>
      <c r="O52" s="46"/>
      <c r="P52" s="47"/>
      <c r="Q52" s="155"/>
      <c r="R52" s="155">
        <f t="shared" si="3"/>
        <v>30000</v>
      </c>
      <c r="S52" s="155"/>
      <c r="T52" s="155"/>
    </row>
    <row r="53" spans="1:21" ht="18" customHeight="1" x14ac:dyDescent="0.15">
      <c r="A53" s="58"/>
      <c r="B53" s="40"/>
      <c r="C53" s="40" t="s">
        <v>149</v>
      </c>
      <c r="D53" s="42"/>
      <c r="E53" s="40"/>
      <c r="F53" s="40"/>
      <c r="G53" s="29"/>
      <c r="H53" s="30">
        <v>116000</v>
      </c>
      <c r="I53" s="31"/>
      <c r="J53" s="29"/>
      <c r="K53" s="30">
        <v>116000</v>
      </c>
      <c r="L53" s="272"/>
      <c r="M53" s="271">
        <v>116000</v>
      </c>
      <c r="N53" s="46"/>
      <c r="O53" s="46"/>
      <c r="P53" s="47"/>
      <c r="Q53" s="155"/>
      <c r="R53" s="155">
        <f t="shared" si="3"/>
        <v>116000</v>
      </c>
      <c r="S53" s="155"/>
      <c r="T53" s="155"/>
    </row>
    <row r="54" spans="1:21" ht="18" customHeight="1" x14ac:dyDescent="0.15">
      <c r="A54" s="58"/>
      <c r="B54" s="40"/>
      <c r="C54" s="40" t="s">
        <v>150</v>
      </c>
      <c r="D54" s="42"/>
      <c r="E54" s="40"/>
      <c r="F54" s="40"/>
      <c r="G54" s="29"/>
      <c r="H54" s="30">
        <v>24000</v>
      </c>
      <c r="I54" s="31"/>
      <c r="J54" s="29"/>
      <c r="K54" s="30">
        <f t="shared" ref="K54" si="5">M54+N54+O54+P54</f>
        <v>24000</v>
      </c>
      <c r="L54" s="272"/>
      <c r="M54" s="271">
        <v>24000</v>
      </c>
      <c r="N54" s="46"/>
      <c r="O54" s="46"/>
      <c r="P54" s="47"/>
      <c r="Q54" s="155"/>
      <c r="R54" s="155">
        <f t="shared" si="3"/>
        <v>24000</v>
      </c>
      <c r="S54" s="155"/>
      <c r="T54" s="155"/>
    </row>
    <row r="55" spans="1:21" ht="18" customHeight="1" x14ac:dyDescent="0.15">
      <c r="A55" s="58"/>
      <c r="B55" s="40"/>
      <c r="C55" s="372" t="s">
        <v>151</v>
      </c>
      <c r="D55" s="372"/>
      <c r="E55" s="372"/>
      <c r="F55" s="40"/>
      <c r="G55" s="29"/>
      <c r="H55" s="30">
        <v>0</v>
      </c>
      <c r="I55" s="31"/>
      <c r="J55" s="29"/>
      <c r="K55" s="30">
        <f>M55</f>
        <v>0</v>
      </c>
      <c r="L55" s="272"/>
      <c r="M55" s="271"/>
      <c r="N55" s="46"/>
      <c r="O55" s="46"/>
      <c r="P55" s="47"/>
      <c r="Q55" s="155"/>
      <c r="R55" s="155">
        <f t="shared" si="3"/>
        <v>0</v>
      </c>
      <c r="S55" s="155"/>
      <c r="T55" s="155"/>
    </row>
    <row r="56" spans="1:21" ht="18" customHeight="1" x14ac:dyDescent="0.15">
      <c r="A56" s="58"/>
      <c r="B56" s="40"/>
      <c r="C56" s="40" t="s">
        <v>152</v>
      </c>
      <c r="D56" s="42"/>
      <c r="E56" s="40"/>
      <c r="F56" s="40"/>
      <c r="G56" s="29"/>
      <c r="H56" s="30">
        <v>1810000</v>
      </c>
      <c r="I56" s="31"/>
      <c r="J56" s="29"/>
      <c r="K56" s="30">
        <v>1810000</v>
      </c>
      <c r="L56" s="272"/>
      <c r="M56" s="271">
        <v>1810000</v>
      </c>
      <c r="N56" s="46"/>
      <c r="O56" s="46"/>
      <c r="P56" s="47"/>
      <c r="Q56" s="155"/>
      <c r="R56" s="155">
        <f t="shared" si="3"/>
        <v>1810000</v>
      </c>
      <c r="S56" s="155"/>
      <c r="T56" s="155"/>
    </row>
    <row r="57" spans="1:21" ht="18" customHeight="1" x14ac:dyDescent="0.15">
      <c r="A57" s="58"/>
      <c r="B57" s="40"/>
      <c r="C57" s="40" t="s">
        <v>155</v>
      </c>
      <c r="D57" s="42"/>
      <c r="E57" s="40"/>
      <c r="F57" s="40"/>
      <c r="G57" s="29"/>
      <c r="H57" s="30">
        <v>760000</v>
      </c>
      <c r="I57" s="31"/>
      <c r="J57" s="29"/>
      <c r="K57" s="30">
        <v>760000</v>
      </c>
      <c r="L57" s="272"/>
      <c r="M57" s="271">
        <v>760000</v>
      </c>
      <c r="N57" s="46"/>
      <c r="O57" s="46"/>
      <c r="P57" s="47"/>
      <c r="Q57" s="155"/>
      <c r="R57" s="155">
        <f t="shared" si="3"/>
        <v>760000</v>
      </c>
      <c r="S57" s="155"/>
      <c r="T57" s="155"/>
    </row>
    <row r="58" spans="1:21" ht="18" customHeight="1" x14ac:dyDescent="0.15">
      <c r="A58" s="58"/>
      <c r="B58" s="40"/>
      <c r="C58" s="40" t="s">
        <v>156</v>
      </c>
      <c r="D58" s="42"/>
      <c r="E58" s="40"/>
      <c r="F58" s="40"/>
      <c r="G58" s="29"/>
      <c r="H58" s="30">
        <v>0</v>
      </c>
      <c r="I58" s="31"/>
      <c r="J58" s="29"/>
      <c r="K58" s="30">
        <v>0</v>
      </c>
      <c r="L58" s="272"/>
      <c r="M58" s="271">
        <v>0</v>
      </c>
      <c r="N58" s="46"/>
      <c r="O58" s="46"/>
      <c r="P58" s="47"/>
      <c r="Q58" s="155"/>
      <c r="R58" s="155">
        <f t="shared" si="3"/>
        <v>0</v>
      </c>
      <c r="S58" s="155"/>
      <c r="T58" s="155"/>
    </row>
    <row r="59" spans="1:21" ht="18" customHeight="1" x14ac:dyDescent="0.15">
      <c r="A59" s="58"/>
      <c r="B59" s="40"/>
      <c r="C59" s="40" t="s">
        <v>158</v>
      </c>
      <c r="D59" s="42"/>
      <c r="E59" s="40"/>
      <c r="F59" s="40"/>
      <c r="G59" s="29"/>
      <c r="H59" s="30">
        <v>312550</v>
      </c>
      <c r="I59" s="31"/>
      <c r="J59" s="29"/>
      <c r="K59" s="30">
        <v>312550</v>
      </c>
      <c r="L59" s="272"/>
      <c r="M59" s="271">
        <v>312550</v>
      </c>
      <c r="N59" s="46"/>
      <c r="O59" s="46"/>
      <c r="P59" s="47"/>
      <c r="Q59" s="155"/>
      <c r="R59" s="155">
        <f t="shared" si="3"/>
        <v>312550</v>
      </c>
      <c r="S59" s="155">
        <f>SUM(R52:R59)</f>
        <v>3052550</v>
      </c>
      <c r="T59" s="155"/>
      <c r="U59" s="1">
        <v>3052550</v>
      </c>
    </row>
    <row r="60" spans="1:21" ht="18" customHeight="1" x14ac:dyDescent="0.15">
      <c r="A60" s="58"/>
      <c r="B60" s="366" t="s">
        <v>43</v>
      </c>
      <c r="C60" s="367"/>
      <c r="D60" s="367"/>
      <c r="E60" s="367"/>
      <c r="F60" s="368"/>
      <c r="G60" s="29" t="s">
        <v>171</v>
      </c>
      <c r="H60" s="30">
        <v>4645000</v>
      </c>
      <c r="I60" s="31" t="s">
        <v>172</v>
      </c>
      <c r="J60" s="29" t="s">
        <v>171</v>
      </c>
      <c r="K60" s="30">
        <f>SUM(K61:K73)</f>
        <v>5505000</v>
      </c>
      <c r="L60" s="31" t="s">
        <v>172</v>
      </c>
      <c r="M60" s="154"/>
      <c r="N60" s="46"/>
      <c r="O60" s="46"/>
      <c r="P60" s="47"/>
      <c r="Q60" s="155"/>
      <c r="R60" s="328">
        <f>SUM(R62:R73)</f>
        <v>5205000</v>
      </c>
      <c r="S60" s="155"/>
      <c r="T60" s="155"/>
    </row>
    <row r="61" spans="1:21" ht="18" customHeight="1" x14ac:dyDescent="0.15">
      <c r="A61" s="58"/>
      <c r="B61" s="40"/>
      <c r="C61" s="40" t="s">
        <v>147</v>
      </c>
      <c r="D61" s="42"/>
      <c r="E61" s="40"/>
      <c r="F61" s="40"/>
      <c r="G61" s="29"/>
      <c r="H61" s="30">
        <v>0</v>
      </c>
      <c r="I61" s="31"/>
      <c r="J61" s="29"/>
      <c r="K61" s="338">
        <v>300000</v>
      </c>
      <c r="L61" s="339"/>
      <c r="M61" s="340">
        <v>300000</v>
      </c>
      <c r="N61" s="46"/>
      <c r="O61" s="46"/>
      <c r="P61" s="47"/>
      <c r="Q61" s="155"/>
      <c r="R61" s="155">
        <f t="shared" si="3"/>
        <v>300000</v>
      </c>
      <c r="S61" s="155"/>
      <c r="T61" s="155"/>
    </row>
    <row r="62" spans="1:21" ht="18" customHeight="1" x14ac:dyDescent="0.15">
      <c r="A62" s="58"/>
      <c r="B62" s="40"/>
      <c r="C62" s="40" t="s">
        <v>148</v>
      </c>
      <c r="D62" s="42"/>
      <c r="E62" s="40"/>
      <c r="F62" s="40"/>
      <c r="G62" s="29"/>
      <c r="H62" s="30">
        <v>0</v>
      </c>
      <c r="I62" s="31"/>
      <c r="J62" s="29"/>
      <c r="K62" s="30">
        <v>0</v>
      </c>
      <c r="L62" s="272"/>
      <c r="M62" s="271">
        <v>0</v>
      </c>
      <c r="N62" s="46"/>
      <c r="O62" s="46"/>
      <c r="P62" s="47"/>
      <c r="Q62" s="155"/>
      <c r="R62" s="155">
        <f t="shared" si="3"/>
        <v>0</v>
      </c>
      <c r="S62" s="155"/>
      <c r="T62" s="155"/>
    </row>
    <row r="63" spans="1:21" ht="18" customHeight="1" x14ac:dyDescent="0.15">
      <c r="A63" s="58"/>
      <c r="B63" s="40"/>
      <c r="C63" s="40" t="s">
        <v>149</v>
      </c>
      <c r="D63" s="42"/>
      <c r="E63" s="40"/>
      <c r="F63" s="40"/>
      <c r="G63" s="29"/>
      <c r="H63" s="30">
        <v>310000</v>
      </c>
      <c r="I63" s="31"/>
      <c r="J63" s="29"/>
      <c r="K63" s="30">
        <v>310000</v>
      </c>
      <c r="L63" s="272"/>
      <c r="M63" s="271">
        <v>310000</v>
      </c>
      <c r="N63" s="46"/>
      <c r="O63" s="46"/>
      <c r="P63" s="47"/>
      <c r="Q63" s="155"/>
      <c r="R63" s="155">
        <f t="shared" si="3"/>
        <v>310000</v>
      </c>
      <c r="S63" s="155"/>
      <c r="T63" s="155"/>
    </row>
    <row r="64" spans="1:21" ht="18" customHeight="1" x14ac:dyDescent="0.15">
      <c r="A64" s="58"/>
      <c r="B64" s="40"/>
      <c r="C64" s="40" t="s">
        <v>150</v>
      </c>
      <c r="D64" s="42"/>
      <c r="E64" s="40"/>
      <c r="F64" s="40"/>
      <c r="G64" s="29"/>
      <c r="H64" s="30">
        <v>960000</v>
      </c>
      <c r="I64" s="31"/>
      <c r="J64" s="29"/>
      <c r="K64" s="30">
        <v>960000</v>
      </c>
      <c r="L64" s="272"/>
      <c r="M64" s="271">
        <v>960000</v>
      </c>
      <c r="N64" s="46"/>
      <c r="O64" s="46"/>
      <c r="P64" s="47"/>
      <c r="Q64" s="155"/>
      <c r="R64" s="155">
        <f t="shared" si="3"/>
        <v>960000</v>
      </c>
      <c r="S64" s="155"/>
      <c r="T64" s="155"/>
    </row>
    <row r="65" spans="1:21" ht="18" customHeight="1" x14ac:dyDescent="0.15">
      <c r="A65" s="58"/>
      <c r="B65" s="40"/>
      <c r="C65" s="40" t="s">
        <v>151</v>
      </c>
      <c r="D65" s="42"/>
      <c r="E65" s="40"/>
      <c r="F65" s="40"/>
      <c r="G65" s="29"/>
      <c r="H65" s="30">
        <v>40000</v>
      </c>
      <c r="I65" s="31"/>
      <c r="J65" s="29"/>
      <c r="K65" s="30">
        <v>40000</v>
      </c>
      <c r="L65" s="272"/>
      <c r="M65" s="271">
        <v>40000</v>
      </c>
      <c r="N65" s="46"/>
      <c r="O65" s="46"/>
      <c r="P65" s="47"/>
      <c r="Q65" s="155"/>
      <c r="R65" s="155">
        <f t="shared" si="3"/>
        <v>40000</v>
      </c>
      <c r="S65" s="155"/>
      <c r="T65" s="155"/>
    </row>
    <row r="66" spans="1:21" ht="18" customHeight="1" x14ac:dyDescent="0.15">
      <c r="A66" s="58"/>
      <c r="B66" s="40"/>
      <c r="C66" s="40" t="s">
        <v>152</v>
      </c>
      <c r="D66" s="42"/>
      <c r="E66" s="40"/>
      <c r="F66" s="40"/>
      <c r="G66" s="29"/>
      <c r="H66" s="30">
        <v>50000</v>
      </c>
      <c r="I66" s="31"/>
      <c r="J66" s="29"/>
      <c r="K66" s="338">
        <v>610000</v>
      </c>
      <c r="L66" s="339"/>
      <c r="M66" s="340">
        <v>610000</v>
      </c>
      <c r="N66" s="46"/>
      <c r="O66" s="46"/>
      <c r="P66" s="47"/>
      <c r="Q66" s="155"/>
      <c r="R66" s="155">
        <f t="shared" si="3"/>
        <v>610000</v>
      </c>
      <c r="S66" s="155"/>
      <c r="T66" s="155"/>
    </row>
    <row r="67" spans="1:21" ht="18" customHeight="1" x14ac:dyDescent="0.15">
      <c r="A67" s="58"/>
      <c r="B67" s="40"/>
      <c r="C67" s="366" t="s">
        <v>153</v>
      </c>
      <c r="D67" s="367"/>
      <c r="E67" s="367"/>
      <c r="F67" s="40"/>
      <c r="G67" s="29"/>
      <c r="H67" s="30">
        <v>0</v>
      </c>
      <c r="I67" s="31"/>
      <c r="J67" s="29"/>
      <c r="K67" s="30">
        <v>0</v>
      </c>
      <c r="L67" s="272"/>
      <c r="M67" s="271">
        <v>0</v>
      </c>
      <c r="N67" s="46"/>
      <c r="O67" s="46"/>
      <c r="P67" s="47"/>
      <c r="Q67" s="155"/>
      <c r="R67" s="155">
        <f t="shared" si="3"/>
        <v>0</v>
      </c>
      <c r="S67" s="155"/>
      <c r="T67" s="155"/>
    </row>
    <row r="68" spans="1:21" ht="18" customHeight="1" x14ac:dyDescent="0.15">
      <c r="A68" s="58"/>
      <c r="B68" s="40"/>
      <c r="C68" s="40" t="s">
        <v>160</v>
      </c>
      <c r="D68" s="42"/>
      <c r="E68" s="40"/>
      <c r="F68" s="40"/>
      <c r="G68" s="29"/>
      <c r="H68" s="30">
        <v>350000</v>
      </c>
      <c r="I68" s="31"/>
      <c r="J68" s="29"/>
      <c r="K68" s="30">
        <v>350000</v>
      </c>
      <c r="L68" s="272"/>
      <c r="M68" s="271">
        <v>350000</v>
      </c>
      <c r="N68" s="46"/>
      <c r="O68" s="46"/>
      <c r="P68" s="47"/>
      <c r="Q68" s="155"/>
      <c r="R68" s="155">
        <f t="shared" si="3"/>
        <v>350000</v>
      </c>
      <c r="S68" s="155"/>
      <c r="T68" s="155"/>
    </row>
    <row r="69" spans="1:21" ht="18" customHeight="1" x14ac:dyDescent="0.15">
      <c r="A69" s="58"/>
      <c r="B69" s="40"/>
      <c r="C69" s="40" t="s">
        <v>155</v>
      </c>
      <c r="D69" s="42"/>
      <c r="E69" s="40"/>
      <c r="F69" s="40"/>
      <c r="G69" s="29"/>
      <c r="H69" s="30">
        <v>2700000</v>
      </c>
      <c r="I69" s="31"/>
      <c r="J69" s="29"/>
      <c r="K69" s="30">
        <v>2700000</v>
      </c>
      <c r="L69" s="272"/>
      <c r="M69" s="271">
        <v>2700000</v>
      </c>
      <c r="N69" s="46"/>
      <c r="O69" s="46"/>
      <c r="P69" s="47"/>
      <c r="Q69" s="155"/>
      <c r="R69" s="155">
        <f t="shared" si="3"/>
        <v>2700000</v>
      </c>
      <c r="S69" s="155"/>
      <c r="T69" s="155"/>
    </row>
    <row r="70" spans="1:21" ht="18" customHeight="1" x14ac:dyDescent="0.15">
      <c r="A70" s="58"/>
      <c r="B70" s="40"/>
      <c r="C70" s="40" t="s">
        <v>156</v>
      </c>
      <c r="D70" s="42"/>
      <c r="E70" s="40"/>
      <c r="F70" s="40"/>
      <c r="G70" s="29"/>
      <c r="H70" s="30">
        <v>50000</v>
      </c>
      <c r="I70" s="31"/>
      <c r="J70" s="29"/>
      <c r="K70" s="30">
        <v>50000</v>
      </c>
      <c r="L70" s="272"/>
      <c r="M70" s="271">
        <v>50000</v>
      </c>
      <c r="N70" s="46"/>
      <c r="O70" s="46"/>
      <c r="P70" s="47"/>
      <c r="Q70" s="155"/>
      <c r="R70" s="155">
        <f t="shared" si="3"/>
        <v>50000</v>
      </c>
      <c r="S70" s="155"/>
      <c r="T70" s="155"/>
    </row>
    <row r="71" spans="1:21" ht="18" customHeight="1" x14ac:dyDescent="0.15">
      <c r="A71" s="58"/>
      <c r="B71" s="40"/>
      <c r="C71" s="40" t="s">
        <v>158</v>
      </c>
      <c r="D71" s="42"/>
      <c r="E71" s="40"/>
      <c r="F71" s="40"/>
      <c r="G71" s="29"/>
      <c r="H71" s="30">
        <v>85000</v>
      </c>
      <c r="I71" s="31"/>
      <c r="J71" s="29"/>
      <c r="K71" s="30">
        <v>85000</v>
      </c>
      <c r="L71" s="272"/>
      <c r="M71" s="271">
        <v>85000</v>
      </c>
      <c r="N71" s="46"/>
      <c r="O71" s="46"/>
      <c r="P71" s="47"/>
      <c r="Q71" s="155"/>
      <c r="R71" s="155">
        <f t="shared" si="3"/>
        <v>85000</v>
      </c>
      <c r="S71" s="155"/>
      <c r="T71" s="155"/>
    </row>
    <row r="72" spans="1:21" ht="18" customHeight="1" x14ac:dyDescent="0.15">
      <c r="A72" s="58"/>
      <c r="B72" s="40"/>
      <c r="C72" s="40" t="s">
        <v>170</v>
      </c>
      <c r="D72" s="42"/>
      <c r="E72" s="40"/>
      <c r="F72" s="40"/>
      <c r="G72" s="29"/>
      <c r="H72" s="30">
        <v>0</v>
      </c>
      <c r="I72" s="31"/>
      <c r="J72" s="29"/>
      <c r="K72" s="30">
        <v>0</v>
      </c>
      <c r="L72" s="272"/>
      <c r="M72" s="271">
        <v>0</v>
      </c>
      <c r="N72" s="46"/>
      <c r="O72" s="46"/>
      <c r="P72" s="47"/>
      <c r="Q72" s="155"/>
      <c r="R72" s="155">
        <f t="shared" si="3"/>
        <v>0</v>
      </c>
      <c r="S72" s="155"/>
      <c r="T72" s="155"/>
    </row>
    <row r="73" spans="1:21" ht="18" customHeight="1" x14ac:dyDescent="0.15">
      <c r="A73" s="58"/>
      <c r="B73" s="40"/>
      <c r="C73" s="40" t="s">
        <v>159</v>
      </c>
      <c r="D73" s="42"/>
      <c r="E73" s="40"/>
      <c r="F73" s="40"/>
      <c r="G73" s="29"/>
      <c r="H73" s="30">
        <v>100000</v>
      </c>
      <c r="I73" s="31"/>
      <c r="J73" s="29"/>
      <c r="K73" s="30">
        <v>100000</v>
      </c>
      <c r="L73" s="272"/>
      <c r="M73" s="271">
        <v>100000</v>
      </c>
      <c r="N73" s="46"/>
      <c r="O73" s="46"/>
      <c r="P73" s="47"/>
      <c r="Q73" s="155"/>
      <c r="R73" s="155">
        <f t="shared" si="3"/>
        <v>100000</v>
      </c>
      <c r="S73" s="155">
        <f>SUM(R61:R73)</f>
        <v>5505000</v>
      </c>
      <c r="T73" s="155"/>
      <c r="U73" s="1">
        <v>4645000</v>
      </c>
    </row>
    <row r="74" spans="1:21" ht="18" customHeight="1" x14ac:dyDescent="0.15">
      <c r="A74" s="58"/>
      <c r="B74" s="366" t="s">
        <v>44</v>
      </c>
      <c r="C74" s="367"/>
      <c r="D74" s="367"/>
      <c r="E74" s="367"/>
      <c r="F74" s="368"/>
      <c r="G74" s="29" t="s">
        <v>171</v>
      </c>
      <c r="H74" s="30">
        <f>H75</f>
        <v>0</v>
      </c>
      <c r="I74" s="31" t="s">
        <v>172</v>
      </c>
      <c r="J74" s="29" t="s">
        <v>171</v>
      </c>
      <c r="K74" s="30">
        <f>K75</f>
        <v>0</v>
      </c>
      <c r="L74" s="31" t="s">
        <v>172</v>
      </c>
      <c r="M74" s="154"/>
      <c r="N74" s="46"/>
      <c r="O74" s="46"/>
      <c r="P74" s="47"/>
      <c r="Q74" s="155"/>
      <c r="R74" s="155">
        <f t="shared" si="3"/>
        <v>0</v>
      </c>
      <c r="S74" s="155"/>
      <c r="T74" s="155"/>
    </row>
    <row r="75" spans="1:21" ht="18" customHeight="1" x14ac:dyDescent="0.15">
      <c r="A75" s="58"/>
      <c r="B75" s="40"/>
      <c r="C75" s="255" t="s">
        <v>149</v>
      </c>
      <c r="D75" s="255"/>
      <c r="E75" s="255"/>
      <c r="F75" s="255"/>
      <c r="G75" s="29"/>
      <c r="H75" s="30">
        <v>0</v>
      </c>
      <c r="I75" s="31"/>
      <c r="J75" s="29"/>
      <c r="K75" s="30">
        <f>M75+N75+O75+P75</f>
        <v>0</v>
      </c>
      <c r="L75" s="31"/>
      <c r="M75" s="154"/>
      <c r="N75" s="46"/>
      <c r="O75" s="46"/>
      <c r="P75" s="47"/>
      <c r="Q75" s="155"/>
      <c r="R75" s="155">
        <f t="shared" si="3"/>
        <v>0</v>
      </c>
      <c r="S75" s="155"/>
      <c r="T75" s="155"/>
    </row>
    <row r="76" spans="1:21" ht="18" customHeight="1" x14ac:dyDescent="0.15">
      <c r="A76" s="58"/>
      <c r="B76" s="366" t="s">
        <v>45</v>
      </c>
      <c r="C76" s="367"/>
      <c r="D76" s="367"/>
      <c r="E76" s="367"/>
      <c r="F76" s="368"/>
      <c r="G76" s="29" t="s">
        <v>162</v>
      </c>
      <c r="H76" s="30">
        <f>SUM(H77:H86)</f>
        <v>18858647</v>
      </c>
      <c r="I76" s="31" t="s">
        <v>172</v>
      </c>
      <c r="J76" s="29" t="s">
        <v>171</v>
      </c>
      <c r="K76" s="30">
        <f>SUM(K77:K86)</f>
        <v>18355167</v>
      </c>
      <c r="L76" s="31" t="s">
        <v>172</v>
      </c>
      <c r="M76" s="154"/>
      <c r="N76" s="46"/>
      <c r="O76" s="46"/>
      <c r="P76" s="47"/>
      <c r="Q76" s="155"/>
      <c r="R76" s="328">
        <f>SUM(R77:R86)</f>
        <v>18355167</v>
      </c>
      <c r="S76" s="155"/>
      <c r="T76" s="155"/>
    </row>
    <row r="77" spans="1:21" ht="18" customHeight="1" x14ac:dyDescent="0.15">
      <c r="A77" s="58"/>
      <c r="B77" s="40"/>
      <c r="C77" s="256" t="s">
        <v>161</v>
      </c>
      <c r="D77" s="256"/>
      <c r="E77" s="256"/>
      <c r="F77" s="220"/>
      <c r="G77" s="29"/>
      <c r="H77" s="30">
        <v>13362165</v>
      </c>
      <c r="I77" s="31"/>
      <c r="J77" s="29"/>
      <c r="K77" s="30">
        <f>13362165-503480</f>
        <v>12858685</v>
      </c>
      <c r="L77" s="31"/>
      <c r="M77" s="154"/>
      <c r="N77" s="46"/>
      <c r="O77" s="337">
        <f>13362165-503480</f>
        <v>12858685</v>
      </c>
      <c r="P77" s="47"/>
      <c r="Q77" s="155"/>
      <c r="R77" s="155">
        <f t="shared" si="3"/>
        <v>12858685</v>
      </c>
      <c r="S77" s="155"/>
      <c r="T77" s="155"/>
    </row>
    <row r="78" spans="1:21" ht="18" customHeight="1" x14ac:dyDescent="0.15">
      <c r="A78" s="58"/>
      <c r="B78" s="40"/>
      <c r="C78" s="40" t="s">
        <v>147</v>
      </c>
      <c r="D78" s="42"/>
      <c r="E78" s="40"/>
      <c r="F78" s="40"/>
      <c r="G78" s="29"/>
      <c r="H78" s="30">
        <v>964665</v>
      </c>
      <c r="I78" s="31"/>
      <c r="J78" s="29"/>
      <c r="K78" s="30">
        <v>964665</v>
      </c>
      <c r="L78" s="31"/>
      <c r="M78" s="154"/>
      <c r="N78" s="46"/>
      <c r="O78" s="46">
        <v>964665</v>
      </c>
      <c r="P78" s="47"/>
      <c r="Q78" s="155"/>
      <c r="R78" s="155">
        <f t="shared" si="3"/>
        <v>964665</v>
      </c>
      <c r="S78" s="155"/>
      <c r="T78" s="155"/>
    </row>
    <row r="79" spans="1:21" ht="18" customHeight="1" x14ac:dyDescent="0.15">
      <c r="A79" s="58"/>
      <c r="B79" s="40"/>
      <c r="C79" s="40" t="s">
        <v>148</v>
      </c>
      <c r="D79" s="42"/>
      <c r="E79" s="40"/>
      <c r="F79" s="40"/>
      <c r="G79" s="29"/>
      <c r="H79" s="30">
        <v>208000</v>
      </c>
      <c r="I79" s="31"/>
      <c r="J79" s="29"/>
      <c r="K79" s="30">
        <v>208000</v>
      </c>
      <c r="L79" s="31"/>
      <c r="M79" s="154"/>
      <c r="N79" s="46"/>
      <c r="O79" s="46">
        <v>208000</v>
      </c>
      <c r="P79" s="47"/>
      <c r="Q79" s="155"/>
      <c r="R79" s="155">
        <f t="shared" si="3"/>
        <v>208000</v>
      </c>
      <c r="S79" s="155"/>
      <c r="T79" s="155"/>
    </row>
    <row r="80" spans="1:21" ht="18" customHeight="1" x14ac:dyDescent="0.15">
      <c r="A80" s="58"/>
      <c r="B80" s="40"/>
      <c r="C80" s="40" t="s">
        <v>149</v>
      </c>
      <c r="D80" s="42"/>
      <c r="E80" s="40"/>
      <c r="F80" s="40"/>
      <c r="G80" s="29"/>
      <c r="H80" s="30">
        <v>2000717</v>
      </c>
      <c r="I80" s="31"/>
      <c r="J80" s="29"/>
      <c r="K80" s="223">
        <v>2000717</v>
      </c>
      <c r="L80" s="31"/>
      <c r="M80" s="154"/>
      <c r="N80" s="46"/>
      <c r="O80" s="46">
        <v>2000717</v>
      </c>
      <c r="P80" s="47"/>
      <c r="Q80" s="155"/>
      <c r="R80" s="155">
        <f t="shared" si="3"/>
        <v>2000717</v>
      </c>
      <c r="S80" s="155"/>
      <c r="T80" s="155"/>
    </row>
    <row r="81" spans="1:21" ht="18" customHeight="1" x14ac:dyDescent="0.15">
      <c r="A81" s="58"/>
      <c r="B81" s="40"/>
      <c r="C81" s="40" t="s">
        <v>150</v>
      </c>
      <c r="D81" s="42"/>
      <c r="E81" s="40"/>
      <c r="F81" s="40"/>
      <c r="G81" s="29"/>
      <c r="H81" s="30">
        <v>202000</v>
      </c>
      <c r="I81" s="31"/>
      <c r="J81" s="29"/>
      <c r="K81" s="30">
        <v>202000</v>
      </c>
      <c r="L81" s="31"/>
      <c r="M81" s="154"/>
      <c r="N81" s="46"/>
      <c r="O81" s="46">
        <v>202000</v>
      </c>
      <c r="P81" s="47"/>
      <c r="Q81" s="155"/>
      <c r="R81" s="155">
        <f t="shared" si="3"/>
        <v>202000</v>
      </c>
      <c r="S81" s="155"/>
      <c r="T81" s="155"/>
    </row>
    <row r="82" spans="1:21" ht="18" customHeight="1" x14ac:dyDescent="0.15">
      <c r="A82" s="58"/>
      <c r="B82" s="40"/>
      <c r="C82" s="40" t="s">
        <v>151</v>
      </c>
      <c r="D82" s="42"/>
      <c r="E82" s="40"/>
      <c r="F82" s="40"/>
      <c r="G82" s="29"/>
      <c r="H82" s="30">
        <v>1130000</v>
      </c>
      <c r="I82" s="31"/>
      <c r="J82" s="29"/>
      <c r="K82" s="30">
        <v>1130000</v>
      </c>
      <c r="L82" s="31"/>
      <c r="M82" s="154"/>
      <c r="N82" s="46"/>
      <c r="O82" s="46">
        <v>1130000</v>
      </c>
      <c r="P82" s="47"/>
      <c r="Q82" s="155"/>
      <c r="R82" s="155">
        <f t="shared" si="3"/>
        <v>1130000</v>
      </c>
      <c r="S82" s="155"/>
      <c r="T82" s="155"/>
    </row>
    <row r="83" spans="1:21" ht="18" customHeight="1" x14ac:dyDescent="0.15">
      <c r="A83" s="58"/>
      <c r="B83" s="40"/>
      <c r="C83" s="366" t="s">
        <v>152</v>
      </c>
      <c r="D83" s="367"/>
      <c r="E83" s="367"/>
      <c r="F83" s="40"/>
      <c r="G83" s="29"/>
      <c r="H83" s="30">
        <v>200000</v>
      </c>
      <c r="I83" s="31"/>
      <c r="J83" s="29"/>
      <c r="K83" s="30">
        <v>200000</v>
      </c>
      <c r="L83" s="31"/>
      <c r="M83" s="154"/>
      <c r="N83" s="46"/>
      <c r="O83" s="46">
        <v>200000</v>
      </c>
      <c r="P83" s="47"/>
      <c r="Q83" s="155"/>
      <c r="R83" s="155">
        <f t="shared" si="3"/>
        <v>200000</v>
      </c>
      <c r="S83" s="155"/>
      <c r="T83" s="155"/>
    </row>
    <row r="84" spans="1:21" ht="18" customHeight="1" x14ac:dyDescent="0.15">
      <c r="A84" s="58"/>
      <c r="B84" s="40"/>
      <c r="C84" s="40" t="s">
        <v>153</v>
      </c>
      <c r="D84" s="42"/>
      <c r="E84" s="40"/>
      <c r="F84" s="40"/>
      <c r="G84" s="29"/>
      <c r="H84" s="30">
        <v>320000</v>
      </c>
      <c r="I84" s="31"/>
      <c r="J84" s="29"/>
      <c r="K84" s="30">
        <v>320000</v>
      </c>
      <c r="L84" s="31"/>
      <c r="M84" s="154"/>
      <c r="N84" s="46"/>
      <c r="O84" s="46">
        <v>320000</v>
      </c>
      <c r="P84" s="47"/>
      <c r="Q84" s="155"/>
      <c r="R84" s="155">
        <f t="shared" si="3"/>
        <v>320000</v>
      </c>
      <c r="S84" s="155"/>
      <c r="T84" s="155"/>
    </row>
    <row r="85" spans="1:21" ht="18" customHeight="1" x14ac:dyDescent="0.15">
      <c r="A85" s="58"/>
      <c r="B85" s="40"/>
      <c r="C85" s="40" t="s">
        <v>155</v>
      </c>
      <c r="D85" s="42"/>
      <c r="E85" s="40"/>
      <c r="F85" s="40"/>
      <c r="G85" s="29"/>
      <c r="H85" s="30">
        <v>330000</v>
      </c>
      <c r="I85" s="31"/>
      <c r="J85" s="29"/>
      <c r="K85" s="30">
        <v>330000</v>
      </c>
      <c r="L85" s="31"/>
      <c r="M85" s="154"/>
      <c r="N85" s="46"/>
      <c r="O85" s="46">
        <v>330000</v>
      </c>
      <c r="P85" s="47"/>
      <c r="Q85" s="155"/>
      <c r="R85" s="155">
        <f t="shared" si="3"/>
        <v>330000</v>
      </c>
      <c r="S85" s="155"/>
      <c r="T85" s="155"/>
    </row>
    <row r="86" spans="1:21" ht="18" customHeight="1" x14ac:dyDescent="0.15">
      <c r="A86" s="58"/>
      <c r="B86" s="40"/>
      <c r="C86" s="40" t="s">
        <v>158</v>
      </c>
      <c r="D86" s="42"/>
      <c r="E86" s="40"/>
      <c r="F86" s="40"/>
      <c r="G86" s="29"/>
      <c r="H86" s="30">
        <v>141100</v>
      </c>
      <c r="I86" s="31"/>
      <c r="J86" s="29"/>
      <c r="K86" s="30">
        <v>141100</v>
      </c>
      <c r="L86" s="31"/>
      <c r="M86" s="154"/>
      <c r="N86" s="46"/>
      <c r="O86" s="46">
        <v>141100</v>
      </c>
      <c r="P86" s="47"/>
      <c r="Q86" s="155"/>
      <c r="R86" s="155">
        <f t="shared" si="3"/>
        <v>141100</v>
      </c>
      <c r="S86" s="155">
        <f>SUM(R77:R86)</f>
        <v>18355167</v>
      </c>
      <c r="T86" s="155"/>
      <c r="U86" s="1">
        <v>18858647</v>
      </c>
    </row>
    <row r="87" spans="1:21" ht="18" customHeight="1" x14ac:dyDescent="0.15">
      <c r="A87" s="58"/>
      <c r="B87" s="40" t="s">
        <v>80</v>
      </c>
      <c r="C87" s="40"/>
      <c r="D87" s="42"/>
      <c r="E87" s="40"/>
      <c r="F87" s="40"/>
      <c r="G87" s="29" t="s">
        <v>21</v>
      </c>
      <c r="H87" s="30">
        <f>SUM(H88:H111)</f>
        <v>27003155</v>
      </c>
      <c r="I87" s="31" t="s">
        <v>20</v>
      </c>
      <c r="J87" s="29" t="s">
        <v>21</v>
      </c>
      <c r="K87" s="30">
        <f>SUM(K88:K111)</f>
        <v>27853155</v>
      </c>
      <c r="L87" s="31" t="s">
        <v>22</v>
      </c>
      <c r="M87" s="154"/>
      <c r="N87" s="46"/>
      <c r="O87" s="46"/>
      <c r="P87" s="47"/>
      <c r="Q87" s="155"/>
      <c r="R87" s="155">
        <f t="shared" si="3"/>
        <v>0</v>
      </c>
      <c r="S87" s="155"/>
      <c r="T87" s="155"/>
    </row>
    <row r="88" spans="1:21" ht="18" customHeight="1" x14ac:dyDescent="0.15">
      <c r="A88" s="58"/>
      <c r="B88" s="40"/>
      <c r="C88" s="40" t="s">
        <v>47</v>
      </c>
      <c r="D88" s="42"/>
      <c r="E88" s="40"/>
      <c r="F88" s="40"/>
      <c r="G88" s="29"/>
      <c r="H88" s="30">
        <v>13600000</v>
      </c>
      <c r="I88" s="31"/>
      <c r="J88" s="29"/>
      <c r="K88" s="333">
        <v>14450000</v>
      </c>
      <c r="L88" s="335"/>
      <c r="M88" s="336">
        <v>11560000</v>
      </c>
      <c r="N88" s="337">
        <v>510000</v>
      </c>
      <c r="O88" s="337">
        <v>2380000</v>
      </c>
      <c r="P88" s="47"/>
      <c r="Q88" s="155"/>
      <c r="R88" s="155">
        <f t="shared" si="3"/>
        <v>14450000</v>
      </c>
      <c r="S88" s="155"/>
      <c r="T88" s="155"/>
    </row>
    <row r="89" spans="1:21" ht="18" customHeight="1" x14ac:dyDescent="0.15">
      <c r="A89" s="58"/>
      <c r="B89" s="40"/>
      <c r="C89" s="40" t="s">
        <v>146</v>
      </c>
      <c r="D89" s="42"/>
      <c r="E89" s="40"/>
      <c r="F89" s="40"/>
      <c r="G89" s="29"/>
      <c r="H89" s="30">
        <v>0</v>
      </c>
      <c r="I89" s="31"/>
      <c r="J89" s="29"/>
      <c r="K89" s="30">
        <f t="shared" ref="K89:K111" si="6">M89+N89+O89+P89</f>
        <v>0</v>
      </c>
      <c r="L89" s="31"/>
      <c r="M89" s="154">
        <v>0</v>
      </c>
      <c r="N89" s="46"/>
      <c r="O89" s="46"/>
      <c r="P89" s="47"/>
      <c r="Q89" s="155"/>
      <c r="R89" s="155">
        <f t="shared" si="3"/>
        <v>0</v>
      </c>
      <c r="S89" s="155"/>
      <c r="T89" s="155"/>
    </row>
    <row r="90" spans="1:21" ht="18" customHeight="1" x14ac:dyDescent="0.15">
      <c r="A90" s="58"/>
      <c r="B90" s="40"/>
      <c r="C90" s="40" t="s">
        <v>48</v>
      </c>
      <c r="D90" s="42"/>
      <c r="E90" s="40"/>
      <c r="F90" s="40"/>
      <c r="G90" s="29"/>
      <c r="H90" s="30">
        <v>202513</v>
      </c>
      <c r="I90" s="31"/>
      <c r="J90" s="29"/>
      <c r="K90" s="30">
        <v>202513</v>
      </c>
      <c r="L90" s="31"/>
      <c r="M90" s="154">
        <v>162010</v>
      </c>
      <c r="N90" s="46">
        <v>7148</v>
      </c>
      <c r="O90" s="46">
        <v>33355</v>
      </c>
      <c r="P90" s="47"/>
      <c r="Q90" s="155"/>
      <c r="R90" s="155">
        <f t="shared" si="3"/>
        <v>202513</v>
      </c>
      <c r="S90" s="155"/>
      <c r="T90" s="155"/>
    </row>
    <row r="91" spans="1:21" ht="18" customHeight="1" x14ac:dyDescent="0.15">
      <c r="A91" s="58"/>
      <c r="B91" s="40"/>
      <c r="C91" s="40" t="s">
        <v>49</v>
      </c>
      <c r="D91" s="42"/>
      <c r="E91" s="40"/>
      <c r="F91" s="40"/>
      <c r="G91" s="29"/>
      <c r="H91" s="30">
        <v>1870000</v>
      </c>
      <c r="I91" s="31"/>
      <c r="J91" s="29"/>
      <c r="K91" s="30">
        <v>1870000</v>
      </c>
      <c r="L91" s="31"/>
      <c r="M91" s="154">
        <v>1496000</v>
      </c>
      <c r="N91" s="46">
        <v>66000</v>
      </c>
      <c r="O91" s="46">
        <v>308000</v>
      </c>
      <c r="P91" s="47"/>
      <c r="Q91" s="155"/>
      <c r="R91" s="155">
        <f t="shared" si="3"/>
        <v>1870000</v>
      </c>
      <c r="S91" s="155"/>
      <c r="T91" s="155"/>
    </row>
    <row r="92" spans="1:21" ht="18" customHeight="1" x14ac:dyDescent="0.15">
      <c r="A92" s="58"/>
      <c r="B92" s="40"/>
      <c r="C92" s="40" t="s">
        <v>50</v>
      </c>
      <c r="D92" s="42"/>
      <c r="E92" s="40"/>
      <c r="F92" s="40"/>
      <c r="G92" s="29"/>
      <c r="H92" s="30">
        <v>425850</v>
      </c>
      <c r="I92" s="31"/>
      <c r="J92" s="29"/>
      <c r="K92" s="30">
        <v>425850</v>
      </c>
      <c r="L92" s="31"/>
      <c r="M92" s="154">
        <v>340680</v>
      </c>
      <c r="N92" s="46">
        <v>15030</v>
      </c>
      <c r="O92" s="46">
        <v>70140</v>
      </c>
      <c r="P92" s="47"/>
      <c r="Q92" s="155"/>
      <c r="R92" s="155">
        <f t="shared" si="3"/>
        <v>425850</v>
      </c>
      <c r="S92" s="155"/>
      <c r="T92" s="155"/>
    </row>
    <row r="93" spans="1:21" ht="18" customHeight="1" x14ac:dyDescent="0.15">
      <c r="A93" s="58"/>
      <c r="B93" s="40"/>
      <c r="C93" s="40" t="s">
        <v>51</v>
      </c>
      <c r="D93" s="42"/>
      <c r="E93" s="40"/>
      <c r="F93" s="40"/>
      <c r="G93" s="29"/>
      <c r="H93" s="30">
        <v>1265792</v>
      </c>
      <c r="I93" s="31"/>
      <c r="J93" s="29"/>
      <c r="K93" s="30">
        <v>1265792</v>
      </c>
      <c r="L93" s="31"/>
      <c r="M93" s="154">
        <v>1012634</v>
      </c>
      <c r="N93" s="46">
        <v>44675</v>
      </c>
      <c r="O93" s="46">
        <v>208483</v>
      </c>
      <c r="P93" s="47"/>
      <c r="Q93" s="155"/>
      <c r="R93" s="155">
        <f t="shared" si="3"/>
        <v>1265792</v>
      </c>
      <c r="S93" s="155"/>
      <c r="T93" s="155"/>
    </row>
    <row r="94" spans="1:21" ht="18" customHeight="1" x14ac:dyDescent="0.15">
      <c r="A94" s="58"/>
      <c r="B94" s="40"/>
      <c r="C94" s="40" t="s">
        <v>52</v>
      </c>
      <c r="D94" s="42"/>
      <c r="E94" s="40"/>
      <c r="F94" s="40"/>
      <c r="G94" s="29"/>
      <c r="H94" s="30">
        <v>56100</v>
      </c>
      <c r="I94" s="31"/>
      <c r="J94" s="29"/>
      <c r="K94" s="30">
        <v>56100</v>
      </c>
      <c r="L94" s="272"/>
      <c r="M94" s="45">
        <v>44880</v>
      </c>
      <c r="N94" s="46">
        <v>1980</v>
      </c>
      <c r="O94" s="46">
        <v>9240</v>
      </c>
      <c r="P94" s="47"/>
      <c r="Q94" s="155"/>
      <c r="R94" s="155">
        <f t="shared" si="3"/>
        <v>56100</v>
      </c>
      <c r="S94" s="155"/>
      <c r="T94" s="155"/>
    </row>
    <row r="95" spans="1:21" ht="18" customHeight="1" x14ac:dyDescent="0.15">
      <c r="A95" s="58"/>
      <c r="B95" s="40"/>
      <c r="C95" s="40" t="s">
        <v>53</v>
      </c>
      <c r="D95" s="42"/>
      <c r="E95" s="40"/>
      <c r="F95" s="40"/>
      <c r="G95" s="29"/>
      <c r="H95" s="30">
        <v>85000</v>
      </c>
      <c r="I95" s="31"/>
      <c r="J95" s="29"/>
      <c r="K95" s="30">
        <v>85000</v>
      </c>
      <c r="L95" s="317"/>
      <c r="M95" s="4">
        <v>68000</v>
      </c>
      <c r="N95" s="46">
        <v>3000</v>
      </c>
      <c r="O95" s="46">
        <v>14000</v>
      </c>
      <c r="P95" s="47"/>
      <c r="Q95" s="155"/>
      <c r="R95" s="155">
        <f>SUM(L95:P95)</f>
        <v>85000</v>
      </c>
      <c r="S95" s="155"/>
      <c r="T95" s="155"/>
    </row>
    <row r="96" spans="1:21" ht="18" customHeight="1" x14ac:dyDescent="0.15">
      <c r="A96" s="58"/>
      <c r="B96" s="40"/>
      <c r="C96" s="40" t="s">
        <v>54</v>
      </c>
      <c r="D96" s="42"/>
      <c r="E96" s="40"/>
      <c r="F96" s="40"/>
      <c r="G96" s="29"/>
      <c r="H96" s="30">
        <v>624750</v>
      </c>
      <c r="I96" s="31"/>
      <c r="J96" s="29"/>
      <c r="K96" s="30">
        <v>624750</v>
      </c>
      <c r="L96" s="31"/>
      <c r="M96" s="154">
        <v>499800</v>
      </c>
      <c r="N96" s="46">
        <v>22050</v>
      </c>
      <c r="O96" s="46">
        <v>102900</v>
      </c>
      <c r="P96" s="47"/>
      <c r="Q96" s="155"/>
      <c r="R96" s="155">
        <f t="shared" si="3"/>
        <v>624750</v>
      </c>
      <c r="S96" s="155"/>
      <c r="T96" s="155"/>
    </row>
    <row r="97" spans="1:20" ht="18" customHeight="1" x14ac:dyDescent="0.15">
      <c r="A97" s="58"/>
      <c r="B97" s="40"/>
      <c r="C97" s="40" t="s">
        <v>55</v>
      </c>
      <c r="D97" s="42"/>
      <c r="E97" s="40"/>
      <c r="F97" s="40"/>
      <c r="G97" s="29"/>
      <c r="H97" s="30">
        <v>85000</v>
      </c>
      <c r="I97" s="31"/>
      <c r="J97" s="29"/>
      <c r="K97" s="30">
        <f t="shared" si="6"/>
        <v>85000</v>
      </c>
      <c r="L97" s="31"/>
      <c r="M97" s="154">
        <v>68000</v>
      </c>
      <c r="N97" s="46">
        <v>3000</v>
      </c>
      <c r="O97" s="46">
        <v>14000</v>
      </c>
      <c r="P97" s="47"/>
      <c r="Q97" s="155"/>
      <c r="R97" s="155">
        <f t="shared" si="3"/>
        <v>85000</v>
      </c>
      <c r="S97" s="155"/>
      <c r="T97" s="155"/>
    </row>
    <row r="98" spans="1:20" ht="18" customHeight="1" x14ac:dyDescent="0.15">
      <c r="A98" s="58"/>
      <c r="B98" s="40"/>
      <c r="C98" s="40" t="s">
        <v>56</v>
      </c>
      <c r="D98" s="42"/>
      <c r="E98" s="40"/>
      <c r="F98" s="40"/>
      <c r="G98" s="29"/>
      <c r="H98" s="30">
        <v>566100</v>
      </c>
      <c r="I98" s="31"/>
      <c r="J98" s="29"/>
      <c r="K98" s="30">
        <f t="shared" si="6"/>
        <v>566100</v>
      </c>
      <c r="L98" s="31"/>
      <c r="M98" s="154">
        <v>452880</v>
      </c>
      <c r="N98" s="46">
        <v>19980</v>
      </c>
      <c r="O98" s="46">
        <v>93240</v>
      </c>
      <c r="P98" s="47"/>
      <c r="Q98" s="155"/>
      <c r="R98" s="155">
        <f t="shared" si="3"/>
        <v>566100</v>
      </c>
      <c r="S98" s="155"/>
      <c r="T98" s="155"/>
    </row>
    <row r="99" spans="1:20" ht="18" customHeight="1" x14ac:dyDescent="0.15">
      <c r="A99" s="58"/>
      <c r="B99" s="40"/>
      <c r="C99" s="40" t="s">
        <v>57</v>
      </c>
      <c r="D99" s="42"/>
      <c r="E99" s="40"/>
      <c r="F99" s="40"/>
      <c r="G99" s="29"/>
      <c r="H99" s="30">
        <v>0</v>
      </c>
      <c r="I99" s="31"/>
      <c r="J99" s="29"/>
      <c r="K99" s="30">
        <f t="shared" si="6"/>
        <v>0</v>
      </c>
      <c r="L99" s="31"/>
      <c r="M99" s="154">
        <v>0</v>
      </c>
      <c r="N99" s="46"/>
      <c r="O99" s="46"/>
      <c r="P99" s="47"/>
      <c r="Q99" s="155"/>
      <c r="R99" s="155">
        <f t="shared" si="3"/>
        <v>0</v>
      </c>
      <c r="S99" s="155"/>
      <c r="T99" s="155"/>
    </row>
    <row r="100" spans="1:20" ht="18" customHeight="1" x14ac:dyDescent="0.15">
      <c r="A100" s="58"/>
      <c r="B100" s="40"/>
      <c r="C100" s="40" t="s">
        <v>58</v>
      </c>
      <c r="D100" s="42"/>
      <c r="E100" s="40"/>
      <c r="F100" s="40"/>
      <c r="G100" s="29"/>
      <c r="H100" s="30">
        <v>340000</v>
      </c>
      <c r="I100" s="31"/>
      <c r="J100" s="29"/>
      <c r="K100" s="30">
        <f t="shared" si="6"/>
        <v>340000</v>
      </c>
      <c r="L100" s="31"/>
      <c r="M100" s="154">
        <v>272000</v>
      </c>
      <c r="N100" s="46">
        <v>12000</v>
      </c>
      <c r="O100" s="46">
        <v>56000</v>
      </c>
      <c r="P100" s="47"/>
      <c r="Q100" s="155"/>
      <c r="R100" s="155">
        <f t="shared" si="3"/>
        <v>340000</v>
      </c>
      <c r="S100" s="155"/>
      <c r="T100" s="155"/>
    </row>
    <row r="101" spans="1:20" ht="18" customHeight="1" x14ac:dyDescent="0.15">
      <c r="A101" s="58"/>
      <c r="B101" s="40"/>
      <c r="C101" s="40" t="s">
        <v>59</v>
      </c>
      <c r="D101" s="42"/>
      <c r="E101" s="40"/>
      <c r="F101" s="40"/>
      <c r="G101" s="29"/>
      <c r="H101" s="30">
        <v>4675000</v>
      </c>
      <c r="I101" s="31"/>
      <c r="J101" s="29"/>
      <c r="K101" s="30">
        <f t="shared" si="6"/>
        <v>4675000</v>
      </c>
      <c r="L101" s="31"/>
      <c r="M101" s="154">
        <v>3740000</v>
      </c>
      <c r="N101" s="46">
        <v>165000</v>
      </c>
      <c r="O101" s="46">
        <v>770000</v>
      </c>
      <c r="P101" s="47"/>
      <c r="Q101" s="155"/>
      <c r="R101" s="155">
        <f t="shared" si="3"/>
        <v>4675000</v>
      </c>
      <c r="S101" s="155"/>
      <c r="T101" s="155"/>
    </row>
    <row r="102" spans="1:20" ht="18" customHeight="1" x14ac:dyDescent="0.15">
      <c r="A102" s="58"/>
      <c r="B102" s="40"/>
      <c r="C102" s="40" t="s">
        <v>60</v>
      </c>
      <c r="D102" s="42"/>
      <c r="E102" s="40"/>
      <c r="F102" s="40"/>
      <c r="G102" s="29"/>
      <c r="H102" s="30">
        <v>170000</v>
      </c>
      <c r="I102" s="31"/>
      <c r="J102" s="29"/>
      <c r="K102" s="30">
        <f t="shared" si="6"/>
        <v>170000</v>
      </c>
      <c r="L102" s="31"/>
      <c r="M102" s="154">
        <v>136000</v>
      </c>
      <c r="N102" s="46">
        <v>6000</v>
      </c>
      <c r="O102" s="46">
        <v>28000</v>
      </c>
      <c r="P102" s="47"/>
      <c r="Q102" s="155"/>
      <c r="R102" s="155">
        <f t="shared" si="3"/>
        <v>170000</v>
      </c>
      <c r="S102" s="155"/>
      <c r="T102" s="155"/>
    </row>
    <row r="103" spans="1:20" ht="18" customHeight="1" x14ac:dyDescent="0.15">
      <c r="A103" s="58"/>
      <c r="B103" s="40"/>
      <c r="C103" s="40" t="s">
        <v>61</v>
      </c>
      <c r="D103" s="42"/>
      <c r="E103" s="40"/>
      <c r="F103" s="40"/>
      <c r="G103" s="29"/>
      <c r="H103" s="30">
        <v>8500</v>
      </c>
      <c r="I103" s="31"/>
      <c r="J103" s="29"/>
      <c r="K103" s="30">
        <v>8500</v>
      </c>
      <c r="L103" s="31"/>
      <c r="M103" s="154">
        <v>6800</v>
      </c>
      <c r="N103" s="46">
        <v>300</v>
      </c>
      <c r="O103" s="46">
        <v>1400</v>
      </c>
      <c r="P103" s="47"/>
      <c r="Q103" s="155"/>
      <c r="R103" s="155">
        <f t="shared" si="3"/>
        <v>8500</v>
      </c>
      <c r="S103" s="155"/>
      <c r="T103" s="155"/>
    </row>
    <row r="104" spans="1:20" ht="18" customHeight="1" x14ac:dyDescent="0.15">
      <c r="A104" s="58"/>
      <c r="B104" s="40"/>
      <c r="C104" s="40" t="s">
        <v>62</v>
      </c>
      <c r="D104" s="42"/>
      <c r="E104" s="40"/>
      <c r="F104" s="40"/>
      <c r="G104" s="29"/>
      <c r="H104" s="30">
        <v>875500</v>
      </c>
      <c r="I104" s="31"/>
      <c r="J104" s="29"/>
      <c r="K104" s="30">
        <f t="shared" si="6"/>
        <v>875500</v>
      </c>
      <c r="L104" s="31"/>
      <c r="M104" s="154">
        <v>700400</v>
      </c>
      <c r="N104" s="46">
        <v>30900</v>
      </c>
      <c r="O104" s="46">
        <v>144200</v>
      </c>
      <c r="P104" s="47"/>
      <c r="Q104" s="155"/>
      <c r="R104" s="155">
        <f t="shared" si="3"/>
        <v>875500</v>
      </c>
      <c r="S104" s="155"/>
      <c r="T104" s="155"/>
    </row>
    <row r="105" spans="1:20" ht="18" customHeight="1" x14ac:dyDescent="0.15">
      <c r="A105" s="58"/>
      <c r="B105" s="40"/>
      <c r="C105" s="40" t="s">
        <v>63</v>
      </c>
      <c r="D105" s="42"/>
      <c r="E105" s="40"/>
      <c r="F105" s="40"/>
      <c r="G105" s="29"/>
      <c r="H105" s="30">
        <v>850000</v>
      </c>
      <c r="I105" s="31"/>
      <c r="J105" s="29"/>
      <c r="K105" s="30">
        <v>850000</v>
      </c>
      <c r="L105" s="31"/>
      <c r="M105" s="154">
        <v>680000</v>
      </c>
      <c r="N105" s="46">
        <v>30000</v>
      </c>
      <c r="O105" s="46">
        <v>140000</v>
      </c>
      <c r="P105" s="47"/>
      <c r="Q105" s="155"/>
      <c r="R105" s="155">
        <f t="shared" ref="R105:R134" si="7">SUM(M105:P105)</f>
        <v>850000</v>
      </c>
      <c r="S105" s="155"/>
      <c r="T105" s="155"/>
    </row>
    <row r="106" spans="1:20" ht="18" customHeight="1" x14ac:dyDescent="0.15">
      <c r="A106" s="58"/>
      <c r="B106" s="40"/>
      <c r="C106" s="40" t="s">
        <v>64</v>
      </c>
      <c r="D106" s="42"/>
      <c r="E106" s="40"/>
      <c r="F106" s="40"/>
      <c r="G106" s="29"/>
      <c r="H106" s="30">
        <v>42500</v>
      </c>
      <c r="I106" s="31"/>
      <c r="J106" s="29"/>
      <c r="K106" s="30">
        <f t="shared" si="6"/>
        <v>42500</v>
      </c>
      <c r="L106" s="31"/>
      <c r="M106" s="154">
        <v>34000</v>
      </c>
      <c r="N106" s="46">
        <v>1500</v>
      </c>
      <c r="O106" s="46">
        <v>7000</v>
      </c>
      <c r="P106" s="47"/>
      <c r="Q106" s="155"/>
      <c r="R106" s="155">
        <f t="shared" si="7"/>
        <v>42500</v>
      </c>
      <c r="S106" s="155"/>
      <c r="T106" s="155"/>
    </row>
    <row r="107" spans="1:20" ht="18" customHeight="1" x14ac:dyDescent="0.15">
      <c r="A107" s="58"/>
      <c r="B107" s="40"/>
      <c r="C107" s="40" t="s">
        <v>65</v>
      </c>
      <c r="D107" s="42"/>
      <c r="E107" s="40"/>
      <c r="F107" s="40"/>
      <c r="G107" s="29"/>
      <c r="H107" s="30">
        <v>255000</v>
      </c>
      <c r="I107" s="31"/>
      <c r="J107" s="29"/>
      <c r="K107" s="30">
        <v>255000</v>
      </c>
      <c r="L107" s="31"/>
      <c r="M107" s="154">
        <v>204000</v>
      </c>
      <c r="N107" s="46">
        <v>9000</v>
      </c>
      <c r="O107" s="46">
        <v>42000</v>
      </c>
      <c r="P107" s="47"/>
      <c r="Q107" s="155"/>
      <c r="R107" s="155">
        <f t="shared" si="7"/>
        <v>255000</v>
      </c>
      <c r="S107" s="155"/>
      <c r="T107" s="155"/>
    </row>
    <row r="108" spans="1:20" ht="18" customHeight="1" x14ac:dyDescent="0.15">
      <c r="A108" s="58"/>
      <c r="B108" s="40"/>
      <c r="C108" s="40" t="s">
        <v>66</v>
      </c>
      <c r="D108" s="42"/>
      <c r="E108" s="40"/>
      <c r="F108" s="40"/>
      <c r="G108" s="29"/>
      <c r="H108" s="30">
        <v>442000</v>
      </c>
      <c r="I108" s="31"/>
      <c r="J108" s="29"/>
      <c r="K108" s="30">
        <f t="shared" si="6"/>
        <v>442000</v>
      </c>
      <c r="L108" s="31"/>
      <c r="M108" s="154">
        <v>353600</v>
      </c>
      <c r="N108" s="46">
        <v>15600</v>
      </c>
      <c r="O108" s="46">
        <v>72800</v>
      </c>
      <c r="P108" s="47"/>
      <c r="Q108" s="155"/>
      <c r="R108" s="155">
        <f t="shared" si="7"/>
        <v>442000</v>
      </c>
      <c r="S108" s="155"/>
      <c r="T108" s="155"/>
    </row>
    <row r="109" spans="1:20" ht="18" customHeight="1" x14ac:dyDescent="0.15">
      <c r="A109" s="58"/>
      <c r="B109" s="40"/>
      <c r="C109" s="40" t="s">
        <v>100</v>
      </c>
      <c r="D109" s="42"/>
      <c r="E109" s="40"/>
      <c r="F109" s="40"/>
      <c r="G109" s="29"/>
      <c r="H109" s="223">
        <v>255000</v>
      </c>
      <c r="I109" s="31"/>
      <c r="J109" s="29"/>
      <c r="K109" s="30">
        <f t="shared" si="6"/>
        <v>255000</v>
      </c>
      <c r="L109" s="31"/>
      <c r="M109" s="224">
        <v>204000</v>
      </c>
      <c r="N109" s="225">
        <v>9000</v>
      </c>
      <c r="O109" s="225">
        <v>42000</v>
      </c>
      <c r="P109" s="226"/>
      <c r="Q109" s="155"/>
      <c r="R109" s="155">
        <f t="shared" si="7"/>
        <v>255000</v>
      </c>
      <c r="S109" s="155"/>
      <c r="T109" s="155"/>
    </row>
    <row r="110" spans="1:20" ht="18" customHeight="1" x14ac:dyDescent="0.15">
      <c r="A110" s="58"/>
      <c r="B110" s="40"/>
      <c r="C110" s="40" t="s">
        <v>67</v>
      </c>
      <c r="D110" s="42"/>
      <c r="E110" s="40"/>
      <c r="F110" s="40"/>
      <c r="G110" s="29"/>
      <c r="H110" s="223">
        <v>308550</v>
      </c>
      <c r="I110" s="31"/>
      <c r="J110" s="29"/>
      <c r="K110" s="30">
        <v>308550</v>
      </c>
      <c r="L110" s="31"/>
      <c r="M110" s="224">
        <v>246840</v>
      </c>
      <c r="N110" s="225">
        <v>10890</v>
      </c>
      <c r="O110" s="225">
        <v>50820</v>
      </c>
      <c r="P110" s="226"/>
      <c r="Q110" s="155"/>
      <c r="R110" s="155">
        <f t="shared" si="7"/>
        <v>308550</v>
      </c>
      <c r="S110" s="155">
        <f>SUM(R88:R110)</f>
        <v>27853155</v>
      </c>
      <c r="T110" s="155"/>
    </row>
    <row r="111" spans="1:20" ht="18" customHeight="1" x14ac:dyDescent="0.15">
      <c r="A111" s="58"/>
      <c r="B111" s="40"/>
      <c r="C111" s="40" t="s">
        <v>101</v>
      </c>
      <c r="D111" s="42"/>
      <c r="E111" s="40"/>
      <c r="F111" s="40"/>
      <c r="G111" s="29"/>
      <c r="H111" s="223">
        <v>0</v>
      </c>
      <c r="I111" s="31"/>
      <c r="J111" s="29"/>
      <c r="K111" s="30">
        <f t="shared" si="6"/>
        <v>0</v>
      </c>
      <c r="L111" s="31"/>
      <c r="M111" s="224"/>
      <c r="N111" s="225"/>
      <c r="O111" s="225"/>
      <c r="P111" s="226"/>
      <c r="Q111" s="155"/>
      <c r="R111" s="155">
        <f t="shared" si="7"/>
        <v>0</v>
      </c>
      <c r="S111" s="155"/>
      <c r="T111" s="155"/>
    </row>
    <row r="112" spans="1:20" ht="18" customHeight="1" x14ac:dyDescent="0.15">
      <c r="A112" s="58"/>
      <c r="B112" s="40" t="s">
        <v>68</v>
      </c>
      <c r="C112" s="40"/>
      <c r="D112" s="42"/>
      <c r="E112" s="40"/>
      <c r="F112" s="40"/>
      <c r="G112" s="29" t="s">
        <v>21</v>
      </c>
      <c r="H112" s="223">
        <f>SUM(H113:H140)</f>
        <v>9941932</v>
      </c>
      <c r="I112" s="31" t="s">
        <v>22</v>
      </c>
      <c r="J112" s="29" t="s">
        <v>21</v>
      </c>
      <c r="K112" s="223">
        <f>SUM(K113:K140)</f>
        <v>10091932</v>
      </c>
      <c r="L112" s="31" t="s">
        <v>22</v>
      </c>
      <c r="M112" s="224"/>
      <c r="N112" s="225"/>
      <c r="O112" s="225"/>
      <c r="P112" s="226"/>
      <c r="Q112" s="155"/>
      <c r="R112" s="155">
        <f t="shared" si="7"/>
        <v>0</v>
      </c>
      <c r="S112" s="155"/>
      <c r="T112" s="155"/>
    </row>
    <row r="113" spans="1:20" ht="18" customHeight="1" x14ac:dyDescent="0.15">
      <c r="A113" s="58"/>
      <c r="B113" s="40"/>
      <c r="C113" s="40" t="s">
        <v>47</v>
      </c>
      <c r="D113" s="42"/>
      <c r="E113" s="40"/>
      <c r="F113" s="40"/>
      <c r="G113" s="29"/>
      <c r="H113" s="223">
        <v>2400000</v>
      </c>
      <c r="I113" s="31"/>
      <c r="J113" s="29"/>
      <c r="K113" s="333">
        <v>2550000</v>
      </c>
      <c r="L113" s="31"/>
      <c r="M113" s="224"/>
      <c r="N113" s="225"/>
      <c r="O113" s="225"/>
      <c r="P113" s="334">
        <v>2550000</v>
      </c>
      <c r="Q113" s="155"/>
      <c r="R113" s="155">
        <f t="shared" si="7"/>
        <v>2550000</v>
      </c>
      <c r="S113" s="155"/>
      <c r="T113" s="155"/>
    </row>
    <row r="114" spans="1:20" ht="18" customHeight="1" x14ac:dyDescent="0.15">
      <c r="A114" s="58"/>
      <c r="B114" s="40"/>
      <c r="C114" s="40" t="s">
        <v>146</v>
      </c>
      <c r="D114" s="42"/>
      <c r="E114" s="40"/>
      <c r="F114" s="40"/>
      <c r="G114" s="29"/>
      <c r="H114" s="223">
        <v>0</v>
      </c>
      <c r="I114" s="31"/>
      <c r="J114" s="29"/>
      <c r="K114" s="223">
        <f t="shared" ref="K114:K140" si="8">M114+N114+O114+P114</f>
        <v>0</v>
      </c>
      <c r="L114" s="31"/>
      <c r="M114" s="224"/>
      <c r="N114" s="225"/>
      <c r="O114" s="225"/>
      <c r="P114" s="226">
        <v>0</v>
      </c>
      <c r="Q114" s="155"/>
      <c r="R114" s="155">
        <f t="shared" si="7"/>
        <v>0</v>
      </c>
      <c r="S114" s="155"/>
      <c r="T114" s="155"/>
    </row>
    <row r="115" spans="1:20" ht="18" customHeight="1" x14ac:dyDescent="0.15">
      <c r="A115" s="58"/>
      <c r="B115" s="40"/>
      <c r="C115" s="40" t="s">
        <v>48</v>
      </c>
      <c r="D115" s="42"/>
      <c r="E115" s="40"/>
      <c r="F115" s="40"/>
      <c r="G115" s="29"/>
      <c r="H115" s="223">
        <v>35737</v>
      </c>
      <c r="I115" s="31"/>
      <c r="J115" s="29"/>
      <c r="K115" s="223">
        <v>35737</v>
      </c>
      <c r="L115" s="31"/>
      <c r="M115" s="224"/>
      <c r="N115" s="225"/>
      <c r="O115" s="225"/>
      <c r="P115" s="226">
        <v>35737</v>
      </c>
      <c r="Q115" s="315"/>
      <c r="R115" s="155">
        <f t="shared" si="7"/>
        <v>35737</v>
      </c>
      <c r="S115" s="155"/>
      <c r="T115" s="155"/>
    </row>
    <row r="116" spans="1:20" ht="18" customHeight="1" x14ac:dyDescent="0.15">
      <c r="A116" s="58"/>
      <c r="B116" s="40"/>
      <c r="C116" s="40" t="s">
        <v>49</v>
      </c>
      <c r="D116" s="42"/>
      <c r="E116" s="40"/>
      <c r="F116" s="40"/>
      <c r="G116" s="29"/>
      <c r="H116" s="223">
        <v>330000</v>
      </c>
      <c r="I116" s="31"/>
      <c r="J116" s="29"/>
      <c r="K116" s="223">
        <v>330000</v>
      </c>
      <c r="L116" s="31"/>
      <c r="M116" s="224"/>
      <c r="N116" s="225"/>
      <c r="O116" s="225"/>
      <c r="P116" s="226">
        <v>330000</v>
      </c>
      <c r="Q116" s="155"/>
      <c r="R116" s="155">
        <f t="shared" si="7"/>
        <v>330000</v>
      </c>
      <c r="S116" s="155"/>
      <c r="T116" s="155"/>
    </row>
    <row r="117" spans="1:20" ht="18" customHeight="1" x14ac:dyDescent="0.15">
      <c r="A117" s="58"/>
      <c r="B117" s="40"/>
      <c r="C117" s="40" t="s">
        <v>69</v>
      </c>
      <c r="D117" s="42"/>
      <c r="E117" s="40"/>
      <c r="F117" s="40"/>
      <c r="G117" s="29"/>
      <c r="H117" s="223">
        <v>3856670</v>
      </c>
      <c r="I117" s="31"/>
      <c r="J117" s="29"/>
      <c r="K117" s="223">
        <v>3856670</v>
      </c>
      <c r="L117" s="31"/>
      <c r="M117" s="224"/>
      <c r="N117" s="225"/>
      <c r="O117" s="225"/>
      <c r="P117" s="226">
        <v>3856670</v>
      </c>
      <c r="Q117" s="155"/>
      <c r="R117" s="155">
        <f t="shared" si="7"/>
        <v>3856670</v>
      </c>
      <c r="S117" s="155"/>
      <c r="T117" s="155"/>
    </row>
    <row r="118" spans="1:20" ht="18" customHeight="1" x14ac:dyDescent="0.15">
      <c r="A118" s="58"/>
      <c r="B118" s="40"/>
      <c r="C118" s="40" t="s">
        <v>50</v>
      </c>
      <c r="D118" s="42"/>
      <c r="E118" s="40"/>
      <c r="F118" s="40"/>
      <c r="G118" s="29"/>
      <c r="H118" s="223">
        <v>75150</v>
      </c>
      <c r="I118" s="31"/>
      <c r="J118" s="29"/>
      <c r="K118" s="223">
        <v>75150</v>
      </c>
      <c r="L118" s="31"/>
      <c r="M118" s="224"/>
      <c r="N118" s="225"/>
      <c r="O118" s="225"/>
      <c r="P118" s="226">
        <v>75150</v>
      </c>
      <c r="Q118" s="155"/>
      <c r="R118" s="155">
        <f t="shared" si="7"/>
        <v>75150</v>
      </c>
      <c r="S118" s="155"/>
      <c r="T118" s="155"/>
    </row>
    <row r="119" spans="1:20" ht="18" customHeight="1" x14ac:dyDescent="0.15">
      <c r="A119" s="58"/>
      <c r="B119" s="40"/>
      <c r="C119" s="40" t="s">
        <v>51</v>
      </c>
      <c r="D119" s="42"/>
      <c r="E119" s="40"/>
      <c r="F119" s="40"/>
      <c r="G119" s="29"/>
      <c r="H119" s="223">
        <v>223375</v>
      </c>
      <c r="I119" s="31"/>
      <c r="J119" s="29"/>
      <c r="K119" s="223">
        <v>223375</v>
      </c>
      <c r="L119" s="31"/>
      <c r="M119" s="224"/>
      <c r="N119" s="225"/>
      <c r="O119" s="225"/>
      <c r="P119" s="226">
        <v>223375</v>
      </c>
      <c r="Q119" s="155"/>
      <c r="R119" s="155">
        <f t="shared" si="7"/>
        <v>223375</v>
      </c>
      <c r="S119" s="155"/>
      <c r="T119" s="155"/>
    </row>
    <row r="120" spans="1:20" ht="18" customHeight="1" x14ac:dyDescent="0.15">
      <c r="A120" s="58"/>
      <c r="B120" s="40"/>
      <c r="C120" s="40" t="s">
        <v>52</v>
      </c>
      <c r="D120" s="42"/>
      <c r="E120" s="40"/>
      <c r="F120" s="40"/>
      <c r="G120" s="29"/>
      <c r="H120" s="223">
        <v>9900</v>
      </c>
      <c r="I120" s="31"/>
      <c r="J120" s="29"/>
      <c r="K120" s="223">
        <v>9900</v>
      </c>
      <c r="L120" s="31"/>
      <c r="M120" s="224"/>
      <c r="N120" s="225"/>
      <c r="O120" s="225"/>
      <c r="P120" s="226">
        <v>9900</v>
      </c>
      <c r="Q120" s="155"/>
      <c r="R120" s="155">
        <f t="shared" si="7"/>
        <v>9900</v>
      </c>
      <c r="S120" s="155"/>
      <c r="T120" s="155"/>
    </row>
    <row r="121" spans="1:20" ht="18" customHeight="1" x14ac:dyDescent="0.15">
      <c r="A121" s="58"/>
      <c r="B121" s="40"/>
      <c r="C121" s="40" t="s">
        <v>53</v>
      </c>
      <c r="D121" s="42"/>
      <c r="E121" s="40"/>
      <c r="F121" s="40"/>
      <c r="G121" s="29"/>
      <c r="H121" s="223">
        <v>15000</v>
      </c>
      <c r="I121" s="31"/>
      <c r="J121" s="29"/>
      <c r="K121" s="223">
        <f t="shared" si="8"/>
        <v>15000</v>
      </c>
      <c r="L121" s="31"/>
      <c r="M121" s="224"/>
      <c r="N121" s="225"/>
      <c r="O121" s="225"/>
      <c r="P121" s="226">
        <v>15000</v>
      </c>
      <c r="Q121" s="155"/>
      <c r="R121" s="155">
        <f t="shared" si="7"/>
        <v>15000</v>
      </c>
      <c r="S121" s="155"/>
      <c r="T121" s="155"/>
    </row>
    <row r="122" spans="1:20" ht="18" customHeight="1" x14ac:dyDescent="0.15">
      <c r="A122" s="58"/>
      <c r="B122" s="40"/>
      <c r="C122" s="40" t="s">
        <v>54</v>
      </c>
      <c r="D122" s="42"/>
      <c r="E122" s="40"/>
      <c r="F122" s="40"/>
      <c r="G122" s="29"/>
      <c r="H122" s="223">
        <v>110250</v>
      </c>
      <c r="I122" s="31"/>
      <c r="J122" s="29"/>
      <c r="K122" s="223">
        <v>110250</v>
      </c>
      <c r="L122" s="31"/>
      <c r="M122" s="224"/>
      <c r="N122" s="225"/>
      <c r="O122" s="225"/>
      <c r="P122" s="226">
        <v>110250</v>
      </c>
      <c r="Q122" s="155"/>
      <c r="R122" s="155">
        <f t="shared" si="7"/>
        <v>110250</v>
      </c>
      <c r="S122" s="155"/>
      <c r="T122" s="155"/>
    </row>
    <row r="123" spans="1:20" ht="18" customHeight="1" x14ac:dyDescent="0.15">
      <c r="A123" s="58"/>
      <c r="B123" s="40"/>
      <c r="C123" s="40" t="s">
        <v>55</v>
      </c>
      <c r="D123" s="42"/>
      <c r="E123" s="40"/>
      <c r="F123" s="40"/>
      <c r="G123" s="29"/>
      <c r="H123" s="223">
        <v>15000</v>
      </c>
      <c r="I123" s="31"/>
      <c r="J123" s="29"/>
      <c r="K123" s="223">
        <f t="shared" si="8"/>
        <v>15000</v>
      </c>
      <c r="L123" s="31"/>
      <c r="M123" s="224"/>
      <c r="N123" s="225"/>
      <c r="O123" s="225"/>
      <c r="P123" s="226">
        <v>15000</v>
      </c>
      <c r="Q123" s="155"/>
      <c r="R123" s="155">
        <f t="shared" si="7"/>
        <v>15000</v>
      </c>
      <c r="S123" s="155"/>
      <c r="T123" s="155"/>
    </row>
    <row r="124" spans="1:20" ht="18" customHeight="1" x14ac:dyDescent="0.15">
      <c r="A124" s="58"/>
      <c r="B124" s="40"/>
      <c r="C124" s="40" t="s">
        <v>56</v>
      </c>
      <c r="D124" s="42"/>
      <c r="E124" s="40"/>
      <c r="F124" s="40"/>
      <c r="G124" s="29"/>
      <c r="H124" s="223">
        <v>99900</v>
      </c>
      <c r="I124" s="31"/>
      <c r="J124" s="29"/>
      <c r="K124" s="223">
        <f t="shared" si="8"/>
        <v>99900</v>
      </c>
      <c r="L124" s="31"/>
      <c r="M124" s="224"/>
      <c r="N124" s="225"/>
      <c r="O124" s="225"/>
      <c r="P124" s="226">
        <v>99900</v>
      </c>
      <c r="Q124" s="155"/>
      <c r="R124" s="155">
        <f t="shared" si="7"/>
        <v>99900</v>
      </c>
      <c r="S124" s="155"/>
      <c r="T124" s="155"/>
    </row>
    <row r="125" spans="1:20" ht="18" customHeight="1" x14ac:dyDescent="0.15">
      <c r="A125" s="58"/>
      <c r="B125" s="40"/>
      <c r="C125" s="40" t="s">
        <v>57</v>
      </c>
      <c r="D125" s="42"/>
      <c r="E125" s="40"/>
      <c r="F125" s="40"/>
      <c r="G125" s="29"/>
      <c r="H125" s="223">
        <v>0</v>
      </c>
      <c r="I125" s="31"/>
      <c r="J125" s="29"/>
      <c r="K125" s="223">
        <f t="shared" si="8"/>
        <v>0</v>
      </c>
      <c r="L125" s="31"/>
      <c r="M125" s="224"/>
      <c r="N125" s="225"/>
      <c r="O125" s="225"/>
      <c r="P125" s="226">
        <v>0</v>
      </c>
      <c r="Q125" s="155"/>
      <c r="R125" s="155">
        <f t="shared" si="7"/>
        <v>0</v>
      </c>
      <c r="S125" s="155"/>
      <c r="T125" s="155"/>
    </row>
    <row r="126" spans="1:20" ht="18" customHeight="1" x14ac:dyDescent="0.15">
      <c r="A126" s="58"/>
      <c r="B126" s="40"/>
      <c r="C126" s="40" t="s">
        <v>58</v>
      </c>
      <c r="D126" s="42"/>
      <c r="E126" s="40"/>
      <c r="F126" s="40"/>
      <c r="G126" s="29"/>
      <c r="H126" s="223">
        <v>60000</v>
      </c>
      <c r="I126" s="31"/>
      <c r="J126" s="29"/>
      <c r="K126" s="223">
        <f t="shared" si="8"/>
        <v>60000</v>
      </c>
      <c r="L126" s="31"/>
      <c r="M126" s="224"/>
      <c r="N126" s="225"/>
      <c r="O126" s="225"/>
      <c r="P126" s="226">
        <v>60000</v>
      </c>
      <c r="Q126" s="155"/>
      <c r="R126" s="155">
        <f t="shared" si="7"/>
        <v>60000</v>
      </c>
      <c r="S126" s="155"/>
      <c r="T126" s="155"/>
    </row>
    <row r="127" spans="1:20" ht="18" customHeight="1" x14ac:dyDescent="0.15">
      <c r="A127" s="58"/>
      <c r="B127" s="40"/>
      <c r="C127" s="40" t="s">
        <v>59</v>
      </c>
      <c r="D127" s="42"/>
      <c r="E127" s="40"/>
      <c r="F127" s="40"/>
      <c r="G127" s="29"/>
      <c r="H127" s="223">
        <v>825000</v>
      </c>
      <c r="I127" s="31"/>
      <c r="J127" s="29"/>
      <c r="K127" s="223">
        <f t="shared" si="8"/>
        <v>825000</v>
      </c>
      <c r="L127" s="31"/>
      <c r="M127" s="224"/>
      <c r="N127" s="225"/>
      <c r="O127" s="225"/>
      <c r="P127" s="226">
        <v>825000</v>
      </c>
      <c r="Q127" s="155"/>
      <c r="R127" s="155">
        <f t="shared" si="7"/>
        <v>825000</v>
      </c>
      <c r="S127" s="155"/>
      <c r="T127" s="155"/>
    </row>
    <row r="128" spans="1:20" ht="18" customHeight="1" x14ac:dyDescent="0.15">
      <c r="A128" s="58"/>
      <c r="B128" s="40"/>
      <c r="C128" s="40" t="s">
        <v>60</v>
      </c>
      <c r="D128" s="42"/>
      <c r="E128" s="40"/>
      <c r="F128" s="40"/>
      <c r="G128" s="29"/>
      <c r="H128" s="223">
        <v>30000</v>
      </c>
      <c r="I128" s="31"/>
      <c r="J128" s="29"/>
      <c r="K128" s="223">
        <f t="shared" si="8"/>
        <v>30000</v>
      </c>
      <c r="L128" s="31"/>
      <c r="M128" s="224"/>
      <c r="N128" s="225"/>
      <c r="O128" s="225"/>
      <c r="P128" s="226">
        <v>30000</v>
      </c>
      <c r="Q128" s="155"/>
      <c r="R128" s="155">
        <f t="shared" si="7"/>
        <v>30000</v>
      </c>
      <c r="S128" s="155"/>
      <c r="T128" s="155"/>
    </row>
    <row r="129" spans="1:21" ht="18" customHeight="1" x14ac:dyDescent="0.15">
      <c r="A129" s="58"/>
      <c r="B129" s="40"/>
      <c r="C129" s="40" t="s">
        <v>61</v>
      </c>
      <c r="D129" s="42"/>
      <c r="E129" s="40"/>
      <c r="F129" s="40"/>
      <c r="G129" s="29"/>
      <c r="H129" s="223">
        <v>1500</v>
      </c>
      <c r="I129" s="31"/>
      <c r="J129" s="29"/>
      <c r="K129" s="223">
        <v>1500</v>
      </c>
      <c r="L129" s="31"/>
      <c r="M129" s="224"/>
      <c r="N129" s="225"/>
      <c r="O129" s="225"/>
      <c r="P129" s="226">
        <v>1500</v>
      </c>
      <c r="Q129" s="155"/>
      <c r="R129" s="155">
        <f t="shared" si="7"/>
        <v>1500</v>
      </c>
      <c r="S129" s="155"/>
      <c r="T129" s="155"/>
    </row>
    <row r="130" spans="1:21" ht="18" customHeight="1" x14ac:dyDescent="0.15">
      <c r="A130" s="58"/>
      <c r="B130" s="40"/>
      <c r="C130" s="40" t="s">
        <v>62</v>
      </c>
      <c r="D130" s="42"/>
      <c r="E130" s="40"/>
      <c r="F130" s="40"/>
      <c r="G130" s="29"/>
      <c r="H130" s="223">
        <v>154500</v>
      </c>
      <c r="I130" s="31"/>
      <c r="J130" s="29"/>
      <c r="K130" s="223">
        <f t="shared" si="8"/>
        <v>154500</v>
      </c>
      <c r="L130" s="31"/>
      <c r="M130" s="224"/>
      <c r="N130" s="225"/>
      <c r="O130" s="225"/>
      <c r="P130" s="226">
        <v>154500</v>
      </c>
      <c r="Q130" s="155"/>
      <c r="R130" s="155">
        <f t="shared" si="7"/>
        <v>154500</v>
      </c>
      <c r="S130" s="155"/>
      <c r="T130" s="155"/>
    </row>
    <row r="131" spans="1:21" ht="18" customHeight="1" x14ac:dyDescent="0.15">
      <c r="A131" s="58"/>
      <c r="B131" s="40"/>
      <c r="C131" s="40" t="s">
        <v>70</v>
      </c>
      <c r="D131" s="42"/>
      <c r="E131" s="40"/>
      <c r="F131" s="40"/>
      <c r="G131" s="29"/>
      <c r="H131" s="223">
        <v>540000</v>
      </c>
      <c r="I131" s="31"/>
      <c r="J131" s="29"/>
      <c r="K131" s="223">
        <v>540000</v>
      </c>
      <c r="L131" s="31"/>
      <c r="M131" s="224"/>
      <c r="N131" s="225"/>
      <c r="O131" s="225"/>
      <c r="P131" s="226">
        <v>540000</v>
      </c>
      <c r="Q131" s="155"/>
      <c r="R131" s="155">
        <f t="shared" si="7"/>
        <v>540000</v>
      </c>
      <c r="S131" s="155"/>
      <c r="T131" s="155"/>
    </row>
    <row r="132" spans="1:21" ht="18" customHeight="1" x14ac:dyDescent="0.15">
      <c r="A132" s="58"/>
      <c r="B132" s="40"/>
      <c r="C132" s="40" t="s">
        <v>71</v>
      </c>
      <c r="D132" s="42"/>
      <c r="E132" s="40"/>
      <c r="F132" s="40"/>
      <c r="G132" s="29"/>
      <c r="H132" s="223">
        <v>200000</v>
      </c>
      <c r="I132" s="31"/>
      <c r="J132" s="29"/>
      <c r="K132" s="223">
        <v>200000</v>
      </c>
      <c r="L132" s="31"/>
      <c r="M132" s="224"/>
      <c r="N132" s="225"/>
      <c r="O132" s="225"/>
      <c r="P132" s="226">
        <v>200000</v>
      </c>
      <c r="Q132" s="155"/>
      <c r="R132" s="155">
        <f t="shared" si="7"/>
        <v>200000</v>
      </c>
      <c r="S132" s="155"/>
      <c r="T132" s="155"/>
    </row>
    <row r="133" spans="1:21" ht="18" customHeight="1" x14ac:dyDescent="0.15">
      <c r="A133" s="58"/>
      <c r="B133" s="40"/>
      <c r="C133" s="40" t="s">
        <v>63</v>
      </c>
      <c r="D133" s="42"/>
      <c r="E133" s="40"/>
      <c r="F133" s="40"/>
      <c r="G133" s="29"/>
      <c r="H133" s="223">
        <v>150000</v>
      </c>
      <c r="I133" s="31"/>
      <c r="J133" s="29"/>
      <c r="K133" s="223">
        <v>150000</v>
      </c>
      <c r="L133" s="31"/>
      <c r="M133" s="224"/>
      <c r="N133" s="225"/>
      <c r="O133" s="225"/>
      <c r="P133" s="226">
        <v>150000</v>
      </c>
      <c r="Q133" s="155"/>
      <c r="R133" s="155">
        <f t="shared" si="7"/>
        <v>150000</v>
      </c>
      <c r="S133" s="155"/>
      <c r="T133" s="155"/>
    </row>
    <row r="134" spans="1:21" ht="18" customHeight="1" x14ac:dyDescent="0.15">
      <c r="A134" s="58"/>
      <c r="B134" s="40"/>
      <c r="C134" s="40" t="s">
        <v>72</v>
      </c>
      <c r="D134" s="42"/>
      <c r="E134" s="40"/>
      <c r="F134" s="40"/>
      <c r="G134" s="29"/>
      <c r="H134" s="223">
        <v>580000</v>
      </c>
      <c r="I134" s="31"/>
      <c r="J134" s="29"/>
      <c r="K134" s="223">
        <f t="shared" si="8"/>
        <v>580000</v>
      </c>
      <c r="L134" s="31"/>
      <c r="M134" s="224"/>
      <c r="N134" s="225"/>
      <c r="O134" s="225"/>
      <c r="P134" s="226">
        <v>580000</v>
      </c>
      <c r="Q134" s="155"/>
      <c r="R134" s="155">
        <f t="shared" si="7"/>
        <v>580000</v>
      </c>
      <c r="S134" s="155"/>
      <c r="T134" s="155"/>
    </row>
    <row r="135" spans="1:21" ht="18" customHeight="1" x14ac:dyDescent="0.15">
      <c r="A135" s="58"/>
      <c r="B135" s="40"/>
      <c r="C135" s="40" t="s">
        <v>64</v>
      </c>
      <c r="D135" s="42"/>
      <c r="E135" s="40"/>
      <c r="F135" s="40"/>
      <c r="G135" s="29"/>
      <c r="H135" s="223">
        <v>7500</v>
      </c>
      <c r="I135" s="31"/>
      <c r="J135" s="29"/>
      <c r="K135" s="223">
        <f t="shared" si="8"/>
        <v>7500</v>
      </c>
      <c r="L135" s="31"/>
      <c r="M135" s="224"/>
      <c r="N135" s="225"/>
      <c r="O135" s="225"/>
      <c r="P135" s="226">
        <v>7500</v>
      </c>
      <c r="Q135" s="155"/>
      <c r="R135" s="155">
        <v>7500</v>
      </c>
      <c r="S135" s="155"/>
      <c r="T135" s="155"/>
    </row>
    <row r="136" spans="1:21" ht="18" customHeight="1" x14ac:dyDescent="0.15">
      <c r="A136" s="58"/>
      <c r="B136" s="40"/>
      <c r="C136" s="40" t="s">
        <v>65</v>
      </c>
      <c r="D136" s="42"/>
      <c r="E136" s="40"/>
      <c r="F136" s="40"/>
      <c r="G136" s="29"/>
      <c r="H136" s="223">
        <v>45000</v>
      </c>
      <c r="I136" s="31"/>
      <c r="J136" s="29"/>
      <c r="K136" s="223">
        <v>45000</v>
      </c>
      <c r="L136" s="31"/>
      <c r="M136" s="224"/>
      <c r="N136" s="225"/>
      <c r="O136" s="225"/>
      <c r="P136" s="226">
        <v>45000</v>
      </c>
      <c r="Q136" s="155"/>
      <c r="R136" s="155">
        <v>45000</v>
      </c>
      <c r="S136" s="155"/>
      <c r="T136" s="155"/>
    </row>
    <row r="137" spans="1:21" ht="18" customHeight="1" x14ac:dyDescent="0.15">
      <c r="A137" s="58"/>
      <c r="B137" s="40"/>
      <c r="C137" s="40" t="s">
        <v>66</v>
      </c>
      <c r="D137" s="42"/>
      <c r="E137" s="40"/>
      <c r="F137" s="40"/>
      <c r="G137" s="29"/>
      <c r="H137" s="223">
        <v>78000</v>
      </c>
      <c r="I137" s="31"/>
      <c r="J137" s="29"/>
      <c r="K137" s="223">
        <v>78000</v>
      </c>
      <c r="L137" s="31"/>
      <c r="M137" s="224"/>
      <c r="N137" s="225"/>
      <c r="O137" s="225"/>
      <c r="P137" s="226">
        <v>78000</v>
      </c>
      <c r="Q137" s="155"/>
      <c r="R137" s="155">
        <v>78000</v>
      </c>
      <c r="S137" s="155"/>
      <c r="T137" s="155"/>
    </row>
    <row r="138" spans="1:21" ht="18" customHeight="1" x14ac:dyDescent="0.15">
      <c r="A138" s="58"/>
      <c r="B138" s="295"/>
      <c r="C138" s="56" t="s">
        <v>100</v>
      </c>
      <c r="D138" s="57"/>
      <c r="E138" s="56"/>
      <c r="F138" s="56"/>
      <c r="G138" s="29"/>
      <c r="H138" s="227">
        <v>45000</v>
      </c>
      <c r="I138" s="31"/>
      <c r="J138" s="29"/>
      <c r="K138" s="223">
        <v>45000</v>
      </c>
      <c r="L138" s="31"/>
      <c r="M138" s="224"/>
      <c r="N138" s="225"/>
      <c r="O138" s="225"/>
      <c r="P138" s="226">
        <v>45000</v>
      </c>
      <c r="Q138" s="155"/>
      <c r="R138" s="155">
        <v>45000</v>
      </c>
      <c r="S138" s="155"/>
      <c r="T138" s="155"/>
    </row>
    <row r="139" spans="1:21" ht="18" customHeight="1" x14ac:dyDescent="0.15">
      <c r="A139" s="58"/>
      <c r="B139" s="56"/>
      <c r="C139" s="56" t="s">
        <v>67</v>
      </c>
      <c r="D139" s="57"/>
      <c r="E139" s="56"/>
      <c r="F139" s="56"/>
      <c r="G139" s="29"/>
      <c r="H139" s="223">
        <v>54450</v>
      </c>
      <c r="I139" s="31"/>
      <c r="J139" s="29"/>
      <c r="K139" s="223">
        <v>54450</v>
      </c>
      <c r="L139" s="31"/>
      <c r="M139" s="224"/>
      <c r="N139" s="225"/>
      <c r="O139" s="225"/>
      <c r="P139" s="226">
        <v>54450</v>
      </c>
      <c r="Q139" s="155"/>
      <c r="R139" s="155">
        <v>54450</v>
      </c>
      <c r="S139" s="155">
        <f>SUM(R113:R139)</f>
        <v>10091932</v>
      </c>
      <c r="T139" s="155">
        <f>S139+S110</f>
        <v>37945087</v>
      </c>
      <c r="U139" s="1">
        <v>36945087</v>
      </c>
    </row>
    <row r="140" spans="1:21" ht="18" customHeight="1" x14ac:dyDescent="0.15">
      <c r="A140" s="75"/>
      <c r="B140" s="228"/>
      <c r="C140" s="228" t="s">
        <v>101</v>
      </c>
      <c r="D140" s="229"/>
      <c r="E140" s="228"/>
      <c r="F140" s="230"/>
      <c r="G140" s="49"/>
      <c r="H140" s="227">
        <v>0</v>
      </c>
      <c r="I140" s="50"/>
      <c r="J140" s="49"/>
      <c r="K140" s="223">
        <f t="shared" si="8"/>
        <v>0</v>
      </c>
      <c r="L140" s="50"/>
      <c r="M140" s="231"/>
      <c r="N140" s="232"/>
      <c r="O140" s="232"/>
      <c r="P140" s="258"/>
      <c r="Q140" s="155"/>
      <c r="S140" s="155">
        <f>SUM(S50:S139)</f>
        <v>82047004</v>
      </c>
      <c r="T140" s="155"/>
    </row>
    <row r="141" spans="1:21" ht="18" customHeight="1" x14ac:dyDescent="0.15">
      <c r="A141" s="63"/>
      <c r="B141" s="65" t="s">
        <v>73</v>
      </c>
      <c r="C141" s="80"/>
      <c r="D141" s="64"/>
      <c r="E141" s="65"/>
      <c r="F141" s="65"/>
      <c r="G141" s="81"/>
      <c r="H141" s="233">
        <f>SUM(H37,H87,H112)</f>
        <v>80690484</v>
      </c>
      <c r="I141" s="83"/>
      <c r="J141" s="81"/>
      <c r="K141" s="233">
        <f>SUM(K37,K87,K112)</f>
        <v>82047004</v>
      </c>
      <c r="L141" s="83"/>
      <c r="M141" s="234">
        <f>SUM(M38:M140)</f>
        <v>48029274</v>
      </c>
      <c r="N141" s="235">
        <f>SUM(N38:N140)</f>
        <v>983053</v>
      </c>
      <c r="O141" s="235">
        <f>SUM(O38:O140)</f>
        <v>22942745</v>
      </c>
      <c r="P141" s="236">
        <f>SUM(P38:P140)</f>
        <v>10091932</v>
      </c>
      <c r="Q141" s="155"/>
      <c r="S141" s="155">
        <f>SUM(M141:P141)</f>
        <v>82047004</v>
      </c>
      <c r="T141" s="155" t="s">
        <v>203</v>
      </c>
    </row>
    <row r="142" spans="1:21" ht="18" customHeight="1" thickBot="1" x14ac:dyDescent="0.2">
      <c r="A142" s="88"/>
      <c r="B142" s="89" t="s">
        <v>74</v>
      </c>
      <c r="C142" s="90"/>
      <c r="D142" s="91"/>
      <c r="E142" s="89"/>
      <c r="F142" s="89"/>
      <c r="G142" s="92"/>
      <c r="H142" s="237">
        <f>H35-H141</f>
        <v>-5357884</v>
      </c>
      <c r="I142" s="94"/>
      <c r="J142" s="92"/>
      <c r="K142" s="237">
        <f>K35-K141</f>
        <v>-5160904</v>
      </c>
      <c r="L142" s="94"/>
      <c r="M142" s="238">
        <f>M35-M141</f>
        <v>-6202474</v>
      </c>
      <c r="N142" s="239">
        <f>N35-N141</f>
        <v>466947</v>
      </c>
      <c r="O142" s="239">
        <f>O35-O141</f>
        <v>-1167245</v>
      </c>
      <c r="P142" s="240">
        <f>P35-P141</f>
        <v>104768</v>
      </c>
      <c r="Q142" s="158"/>
      <c r="R142" s="294">
        <f>SUM(M142:P142)</f>
        <v>-6798004</v>
      </c>
      <c r="S142" s="158">
        <f>S141-K141</f>
        <v>0</v>
      </c>
      <c r="T142" s="158"/>
    </row>
    <row r="143" spans="1:21" ht="18" customHeight="1" x14ac:dyDescent="0.15">
      <c r="A143" s="100"/>
      <c r="B143" s="101"/>
      <c r="C143" s="102"/>
      <c r="D143" s="103"/>
      <c r="E143" s="101"/>
      <c r="F143" s="101"/>
      <c r="G143" s="104"/>
      <c r="H143" s="241"/>
      <c r="I143" s="106"/>
      <c r="J143" s="104"/>
      <c r="K143" s="242"/>
      <c r="L143" s="106"/>
      <c r="M143" s="243"/>
      <c r="N143" s="244"/>
      <c r="O143" s="244"/>
      <c r="P143" s="236"/>
      <c r="Q143" s="155"/>
      <c r="S143" s="155"/>
      <c r="T143" s="155"/>
    </row>
    <row r="144" spans="1:21" ht="18" customHeight="1" x14ac:dyDescent="0.15">
      <c r="A144" s="245"/>
      <c r="B144" s="384" t="s">
        <v>75</v>
      </c>
      <c r="C144" s="384"/>
      <c r="D144" s="384"/>
      <c r="E144" s="384"/>
      <c r="F144" s="385"/>
      <c r="G144" s="117"/>
      <c r="H144" s="246">
        <f>H142</f>
        <v>-5357884</v>
      </c>
      <c r="I144" s="247"/>
      <c r="J144" s="248"/>
      <c r="K144" s="246">
        <f>K142</f>
        <v>-5160904</v>
      </c>
      <c r="L144" s="83"/>
      <c r="M144" s="249"/>
      <c r="N144" s="250"/>
      <c r="O144" s="250"/>
      <c r="P144" s="251"/>
      <c r="Q144" s="159"/>
      <c r="S144" s="159"/>
      <c r="T144" s="159"/>
    </row>
    <row r="145" spans="1:20" ht="18" customHeight="1" x14ac:dyDescent="0.15">
      <c r="A145" s="245"/>
      <c r="B145" s="160" t="s">
        <v>76</v>
      </c>
      <c r="C145" s="252"/>
      <c r="D145" s="252"/>
      <c r="E145" s="252"/>
      <c r="F145" s="116"/>
      <c r="G145" s="117"/>
      <c r="H145" s="233"/>
      <c r="I145" s="247"/>
      <c r="J145" s="248"/>
      <c r="K145" s="253"/>
      <c r="L145" s="83"/>
      <c r="M145" s="249"/>
      <c r="N145" s="250"/>
      <c r="O145" s="250"/>
      <c r="P145" s="251"/>
      <c r="Q145" s="155"/>
      <c r="S145" s="155"/>
      <c r="T145" s="155"/>
    </row>
    <row r="146" spans="1:20" ht="18" customHeight="1" x14ac:dyDescent="0.15">
      <c r="A146" s="245"/>
      <c r="B146" s="160" t="s">
        <v>77</v>
      </c>
      <c r="C146" s="252"/>
      <c r="D146" s="252"/>
      <c r="E146" s="252"/>
      <c r="F146" s="116"/>
      <c r="G146" s="117"/>
      <c r="H146" s="233"/>
      <c r="I146" s="247"/>
      <c r="J146" s="248"/>
      <c r="K146" s="233"/>
      <c r="L146" s="83"/>
      <c r="M146" s="249"/>
      <c r="N146" s="250"/>
      <c r="O146" s="250"/>
      <c r="P146" s="251"/>
      <c r="Q146" s="161"/>
      <c r="S146" s="161"/>
      <c r="T146" s="161"/>
    </row>
    <row r="147" spans="1:20" ht="18" customHeight="1" thickBot="1" x14ac:dyDescent="0.2">
      <c r="A147" s="162" t="s">
        <v>78</v>
      </c>
      <c r="B147" s="163"/>
      <c r="C147" s="164"/>
      <c r="D147" s="164"/>
      <c r="E147" s="164"/>
      <c r="F147" s="128"/>
      <c r="G147" s="129"/>
      <c r="H147" s="130"/>
      <c r="I147" s="131"/>
      <c r="J147" s="132"/>
      <c r="K147" s="130"/>
      <c r="L147" s="94"/>
      <c r="M147" s="165"/>
      <c r="N147" s="136"/>
      <c r="O147" s="136"/>
      <c r="P147" s="137"/>
      <c r="Q147" s="138"/>
    </row>
    <row r="148" spans="1:20" ht="20.25" customHeight="1" x14ac:dyDescent="0.15">
      <c r="A148" s="2" t="s">
        <v>81</v>
      </c>
      <c r="B148" s="2"/>
      <c r="C148" s="166"/>
      <c r="D148" s="166"/>
      <c r="K148" s="3"/>
    </row>
    <row r="149" spans="1:20" s="4" customFormat="1" ht="21.75" customHeight="1" x14ac:dyDescent="0.15">
      <c r="A149" s="2" t="s">
        <v>99</v>
      </c>
      <c r="B149" s="2"/>
      <c r="C149" s="166"/>
      <c r="D149" s="166"/>
      <c r="E149" s="2"/>
      <c r="F149" s="2"/>
      <c r="G149" s="2"/>
      <c r="H149" s="2"/>
      <c r="I149" s="2"/>
      <c r="J149" s="2"/>
      <c r="K149" s="3"/>
      <c r="L149" s="2"/>
      <c r="M149" s="167"/>
      <c r="N149" s="167"/>
      <c r="O149" s="167"/>
      <c r="P149" s="167"/>
    </row>
    <row r="150" spans="1:20" s="4" customFormat="1" ht="17.25" customHeight="1" x14ac:dyDescent="0.15">
      <c r="A150" s="364" t="s">
        <v>84</v>
      </c>
      <c r="B150" s="364"/>
      <c r="C150" s="364"/>
      <c r="D150" s="364"/>
      <c r="E150" s="364"/>
      <c r="F150" s="185"/>
      <c r="G150" s="365">
        <f>M141</f>
        <v>48029274</v>
      </c>
      <c r="H150" s="365"/>
      <c r="I150" s="2" t="s">
        <v>86</v>
      </c>
      <c r="J150" s="2"/>
      <c r="K150" s="3">
        <f>K141</f>
        <v>82047004</v>
      </c>
      <c r="L150" s="2"/>
      <c r="M150" s="186" t="s">
        <v>85</v>
      </c>
      <c r="N150" s="187">
        <f>M141/K141</f>
        <v>0.58538729823699598</v>
      </c>
    </row>
    <row r="151" spans="1:20" s="4" customFormat="1" ht="17.25" customHeight="1" x14ac:dyDescent="0.15">
      <c r="A151" s="2"/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2"/>
    </row>
  </sheetData>
  <mergeCells count="24">
    <mergeCell ref="C52:E52"/>
    <mergeCell ref="A1:P1"/>
    <mergeCell ref="A2:P2"/>
    <mergeCell ref="A3:G3"/>
    <mergeCell ref="A4:F5"/>
    <mergeCell ref="G4:I5"/>
    <mergeCell ref="J4:L5"/>
    <mergeCell ref="M4:M5"/>
    <mergeCell ref="N4:O4"/>
    <mergeCell ref="P4:P5"/>
    <mergeCell ref="A6:F6"/>
    <mergeCell ref="C24:F24"/>
    <mergeCell ref="C26:F26"/>
    <mergeCell ref="B38:F38"/>
    <mergeCell ref="B51:F51"/>
    <mergeCell ref="B144:F144"/>
    <mergeCell ref="A150:E150"/>
    <mergeCell ref="G150:H150"/>
    <mergeCell ref="C55:E55"/>
    <mergeCell ref="B60:F60"/>
    <mergeCell ref="C67:E67"/>
    <mergeCell ref="B74:F74"/>
    <mergeCell ref="B76:F76"/>
    <mergeCell ref="C83:E83"/>
  </mergeCells>
  <phoneticPr fontId="2"/>
  <printOptions horizontalCentered="1"/>
  <pageMargins left="0.35433070866141736" right="0.19685039370078741" top="0.47244094488188981" bottom="0.39370078740157483" header="0.55118110236220474" footer="0.39370078740157483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5797-EDBC-4753-A3B1-E492CA7F66E5}">
  <dimension ref="A1:Q40"/>
  <sheetViews>
    <sheetView topLeftCell="A12" workbookViewId="0">
      <selection activeCell="Q26" sqref="Q26"/>
    </sheetView>
  </sheetViews>
  <sheetFormatPr defaultColWidth="9.625" defaultRowHeight="15" customHeight="1" x14ac:dyDescent="0.15"/>
  <cols>
    <col min="1" max="1" width="3.625" customWidth="1"/>
    <col min="2" max="2" width="4.375" customWidth="1"/>
    <col min="3" max="3" width="8.625" customWidth="1"/>
    <col min="7" max="7" width="8.75" customWidth="1"/>
    <col min="8" max="8" width="9.25" customWidth="1"/>
    <col min="11" max="11" width="8.75" customWidth="1"/>
    <col min="12" max="12" width="8.625" customWidth="1"/>
    <col min="14" max="14" width="8.875" customWidth="1"/>
    <col min="15" max="15" width="8.5" customWidth="1"/>
    <col min="17" max="17" width="15.625" customWidth="1"/>
  </cols>
  <sheetData>
    <row r="1" spans="1:17" ht="15" customHeight="1" x14ac:dyDescent="0.15">
      <c r="C1" s="285" t="s">
        <v>199</v>
      </c>
    </row>
    <row r="2" spans="1:17" ht="15" customHeight="1" x14ac:dyDescent="0.1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153</v>
      </c>
      <c r="J2" t="s">
        <v>193</v>
      </c>
      <c r="K2" t="s">
        <v>194</v>
      </c>
      <c r="L2" t="s">
        <v>156</v>
      </c>
      <c r="M2" t="s">
        <v>195</v>
      </c>
      <c r="N2" t="s">
        <v>158</v>
      </c>
    </row>
    <row r="3" spans="1:17" ht="15" customHeight="1" x14ac:dyDescent="0.15">
      <c r="C3" s="276"/>
      <c r="D3" s="276">
        <v>10000</v>
      </c>
      <c r="E3" s="276">
        <v>50000</v>
      </c>
      <c r="F3" s="276">
        <v>10000</v>
      </c>
      <c r="G3" s="276"/>
      <c r="H3" s="276">
        <v>1000000</v>
      </c>
      <c r="I3" s="276"/>
      <c r="J3" s="276"/>
      <c r="K3" s="276">
        <v>130000</v>
      </c>
      <c r="L3" s="276"/>
      <c r="M3" s="276"/>
      <c r="N3" s="276">
        <v>550</v>
      </c>
    </row>
    <row r="4" spans="1:17" ht="15" customHeight="1" x14ac:dyDescent="0.15">
      <c r="C4" s="276"/>
      <c r="D4" s="276">
        <v>20000</v>
      </c>
      <c r="E4" s="276">
        <v>36000</v>
      </c>
      <c r="F4" s="276">
        <v>2000</v>
      </c>
      <c r="G4" s="276"/>
      <c r="H4" s="276">
        <v>400000</v>
      </c>
      <c r="I4" s="276"/>
      <c r="J4" s="276"/>
      <c r="K4" s="276">
        <v>300000</v>
      </c>
      <c r="L4" s="276"/>
      <c r="M4" s="276"/>
      <c r="N4" s="276">
        <v>180000</v>
      </c>
    </row>
    <row r="5" spans="1:17" ht="15" customHeight="1" x14ac:dyDescent="0.15">
      <c r="C5" s="276"/>
      <c r="D5" s="276"/>
      <c r="E5" s="276">
        <v>30000</v>
      </c>
      <c r="F5" s="276">
        <v>2000</v>
      </c>
      <c r="G5" s="276"/>
      <c r="H5" s="276">
        <v>30000</v>
      </c>
      <c r="I5" s="276"/>
      <c r="J5" s="276"/>
      <c r="K5" s="276">
        <v>15000</v>
      </c>
      <c r="L5" s="276"/>
      <c r="M5" s="276"/>
      <c r="N5" s="276">
        <v>1000</v>
      </c>
    </row>
    <row r="6" spans="1:17" ht="15" customHeight="1" x14ac:dyDescent="0.15">
      <c r="C6" s="276"/>
      <c r="D6" s="276"/>
      <c r="E6" s="276"/>
      <c r="F6" s="276">
        <v>10000</v>
      </c>
      <c r="G6" s="276"/>
      <c r="H6" s="276">
        <v>200000</v>
      </c>
      <c r="I6" s="276"/>
      <c r="J6" s="276"/>
      <c r="K6" s="276">
        <v>255000</v>
      </c>
      <c r="L6" s="276"/>
      <c r="M6" s="276"/>
      <c r="N6" s="276">
        <v>80000</v>
      </c>
    </row>
    <row r="7" spans="1:17" ht="15" customHeight="1" x14ac:dyDescent="0.15">
      <c r="C7" s="276"/>
      <c r="D7" s="276"/>
      <c r="E7" s="276"/>
      <c r="F7" s="276"/>
      <c r="G7" s="276"/>
      <c r="H7" s="276">
        <v>180000</v>
      </c>
      <c r="I7" s="276"/>
      <c r="J7" s="276"/>
      <c r="K7" s="276">
        <v>10000</v>
      </c>
      <c r="L7" s="276"/>
      <c r="M7" s="276"/>
      <c r="N7" s="276">
        <v>20000</v>
      </c>
    </row>
    <row r="8" spans="1:17" ht="15" customHeight="1" x14ac:dyDescent="0.15">
      <c r="C8" s="276"/>
      <c r="D8" s="276"/>
      <c r="E8" s="276"/>
      <c r="F8" s="276"/>
      <c r="G8" s="276"/>
      <c r="H8" s="276"/>
      <c r="I8" s="276"/>
      <c r="J8" s="276"/>
      <c r="K8" s="276">
        <v>10000</v>
      </c>
      <c r="L8" s="276"/>
      <c r="M8" s="276"/>
      <c r="N8" s="276">
        <v>30000</v>
      </c>
    </row>
    <row r="9" spans="1:17" ht="15" customHeight="1" x14ac:dyDescent="0.15">
      <c r="C9" s="276"/>
      <c r="D9" s="276"/>
      <c r="E9" s="276"/>
      <c r="F9" s="276"/>
      <c r="G9" s="276"/>
      <c r="H9" s="276"/>
      <c r="I9" s="276"/>
      <c r="J9" s="276"/>
      <c r="K9" s="276">
        <v>30000</v>
      </c>
      <c r="L9" s="276"/>
      <c r="M9" s="276"/>
      <c r="N9" s="276">
        <v>1000</v>
      </c>
    </row>
    <row r="10" spans="1:17" ht="15" customHeight="1" x14ac:dyDescent="0.15">
      <c r="C10" s="276"/>
      <c r="D10" s="276"/>
      <c r="E10" s="276"/>
      <c r="F10" s="276"/>
      <c r="G10" s="276"/>
      <c r="H10" s="276"/>
      <c r="I10" s="276"/>
      <c r="J10" s="276"/>
      <c r="K10" s="276">
        <v>10000</v>
      </c>
      <c r="L10" s="276"/>
      <c r="M10" s="276"/>
      <c r="N10" s="276"/>
    </row>
    <row r="11" spans="1:17" ht="15" customHeight="1" x14ac:dyDescent="0.15"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</row>
    <row r="12" spans="1:17" ht="15" customHeight="1" thickBot="1" x14ac:dyDescent="0.2">
      <c r="A12" s="277" t="s">
        <v>91</v>
      </c>
      <c r="B12" s="278" t="s">
        <v>180</v>
      </c>
      <c r="C12" s="279">
        <f t="shared" ref="C12:N12" si="0">SUM(C3:C11)</f>
        <v>0</v>
      </c>
      <c r="D12" s="279">
        <f t="shared" si="0"/>
        <v>30000</v>
      </c>
      <c r="E12" s="279">
        <f t="shared" si="0"/>
        <v>116000</v>
      </c>
      <c r="F12" s="279">
        <f t="shared" si="0"/>
        <v>24000</v>
      </c>
      <c r="G12" s="279">
        <f t="shared" si="0"/>
        <v>0</v>
      </c>
      <c r="H12" s="279">
        <f t="shared" si="0"/>
        <v>1810000</v>
      </c>
      <c r="I12" s="279">
        <f t="shared" si="0"/>
        <v>0</v>
      </c>
      <c r="J12" s="279">
        <f t="shared" si="0"/>
        <v>0</v>
      </c>
      <c r="K12" s="279">
        <f t="shared" si="0"/>
        <v>760000</v>
      </c>
      <c r="L12" s="279">
        <f t="shared" si="0"/>
        <v>0</v>
      </c>
      <c r="M12" s="279">
        <f t="shared" si="0"/>
        <v>0</v>
      </c>
      <c r="N12" s="279">
        <f t="shared" si="0"/>
        <v>312550</v>
      </c>
      <c r="Q12" s="305">
        <f>SUM(C12:P12)</f>
        <v>3052550</v>
      </c>
    </row>
    <row r="13" spans="1:17" ht="15" customHeight="1" x14ac:dyDescent="0.15">
      <c r="A13" s="280"/>
      <c r="B13" s="280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</row>
    <row r="14" spans="1:17" ht="15" customHeight="1" x14ac:dyDescent="0.15">
      <c r="C14" s="285" t="s">
        <v>200</v>
      </c>
    </row>
    <row r="15" spans="1:17" ht="15" customHeight="1" x14ac:dyDescent="0.15">
      <c r="C15" t="s">
        <v>187</v>
      </c>
      <c r="D15" t="s">
        <v>188</v>
      </c>
      <c r="E15" t="s">
        <v>189</v>
      </c>
      <c r="F15" t="s">
        <v>190</v>
      </c>
      <c r="G15" t="s">
        <v>191</v>
      </c>
      <c r="H15" t="s">
        <v>192</v>
      </c>
      <c r="I15" t="s">
        <v>153</v>
      </c>
      <c r="J15" t="s">
        <v>194</v>
      </c>
      <c r="K15" t="s">
        <v>156</v>
      </c>
      <c r="L15" t="s">
        <v>158</v>
      </c>
      <c r="M15" t="s">
        <v>159</v>
      </c>
      <c r="N15" t="s">
        <v>170</v>
      </c>
      <c r="O15" t="s">
        <v>197</v>
      </c>
    </row>
    <row r="16" spans="1:17" ht="15" customHeight="1" x14ac:dyDescent="0.15">
      <c r="C16" s="332">
        <v>300000</v>
      </c>
      <c r="D16" s="276"/>
      <c r="E16" s="276">
        <v>5000</v>
      </c>
      <c r="F16" s="276">
        <v>150000</v>
      </c>
      <c r="G16" s="276">
        <v>40000</v>
      </c>
      <c r="H16" s="276">
        <v>50000</v>
      </c>
      <c r="I16" s="276"/>
      <c r="J16" s="276">
        <v>600000</v>
      </c>
      <c r="K16" s="276">
        <v>50000</v>
      </c>
      <c r="L16" s="276">
        <v>50000</v>
      </c>
      <c r="M16" s="276">
        <v>100000</v>
      </c>
      <c r="N16" s="276"/>
      <c r="O16" s="276">
        <v>30000</v>
      </c>
    </row>
    <row r="17" spans="1:17" ht="15" customHeight="1" x14ac:dyDescent="0.15">
      <c r="C17" s="276"/>
      <c r="D17" s="276"/>
      <c r="E17" s="276">
        <v>280000</v>
      </c>
      <c r="F17" s="276">
        <v>500000</v>
      </c>
      <c r="G17" s="276"/>
      <c r="H17" s="332">
        <v>610000</v>
      </c>
      <c r="I17" s="276"/>
      <c r="J17" s="276">
        <v>200000</v>
      </c>
      <c r="K17" s="276"/>
      <c r="L17" s="276">
        <v>10000</v>
      </c>
      <c r="M17" s="276"/>
      <c r="N17" s="276"/>
      <c r="O17" s="276">
        <v>100000</v>
      </c>
    </row>
    <row r="18" spans="1:17" ht="15" customHeight="1" x14ac:dyDescent="0.15">
      <c r="C18" s="276"/>
      <c r="D18" s="276"/>
      <c r="E18" s="276">
        <v>15000</v>
      </c>
      <c r="F18" s="276">
        <v>10000</v>
      </c>
      <c r="G18" s="276"/>
      <c r="H18" s="276"/>
      <c r="I18" s="276"/>
      <c r="J18" s="276">
        <v>1680000</v>
      </c>
      <c r="K18" s="276"/>
      <c r="L18" s="276">
        <v>20000</v>
      </c>
      <c r="M18" s="276"/>
      <c r="N18" s="276"/>
      <c r="O18" s="276">
        <v>170000</v>
      </c>
    </row>
    <row r="19" spans="1:17" ht="15" customHeight="1" x14ac:dyDescent="0.15">
      <c r="C19" s="276"/>
      <c r="D19" s="276"/>
      <c r="E19" s="276">
        <v>10000</v>
      </c>
      <c r="F19" s="276">
        <v>150000</v>
      </c>
      <c r="G19" s="276"/>
      <c r="H19" s="276"/>
      <c r="I19" s="276"/>
      <c r="J19" s="276">
        <v>220000</v>
      </c>
      <c r="K19" s="276"/>
      <c r="L19" s="276">
        <v>5000</v>
      </c>
      <c r="M19" s="276"/>
      <c r="N19" s="276"/>
      <c r="O19" s="276">
        <v>50000</v>
      </c>
    </row>
    <row r="20" spans="1:17" ht="15" customHeight="1" x14ac:dyDescent="0.15">
      <c r="C20" s="276"/>
      <c r="D20" s="276"/>
      <c r="E20" s="276"/>
      <c r="F20" s="276">
        <v>30000</v>
      </c>
      <c r="G20" s="276"/>
      <c r="H20" s="276"/>
      <c r="I20" s="276"/>
      <c r="J20" s="276"/>
      <c r="K20" s="276"/>
      <c r="L20" s="276"/>
      <c r="M20" s="276"/>
      <c r="N20" s="276"/>
      <c r="O20" s="276"/>
    </row>
    <row r="21" spans="1:17" ht="15" customHeight="1" x14ac:dyDescent="0.15">
      <c r="C21" s="276"/>
      <c r="D21" s="276"/>
      <c r="E21" s="276"/>
      <c r="F21" s="276">
        <v>120000</v>
      </c>
      <c r="G21" s="276"/>
      <c r="H21" s="276"/>
      <c r="I21" s="276"/>
      <c r="J21" s="276"/>
      <c r="K21" s="276"/>
      <c r="L21" s="276"/>
      <c r="M21" s="276"/>
      <c r="N21" s="276"/>
      <c r="O21" s="276"/>
    </row>
    <row r="22" spans="1:17" ht="15" customHeight="1" x14ac:dyDescent="0.15"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</row>
    <row r="23" spans="1:17" ht="15" customHeight="1" x14ac:dyDescent="0.15"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</row>
    <row r="24" spans="1:17" ht="15" customHeight="1" x14ac:dyDescent="0.15"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</row>
    <row r="25" spans="1:17" ht="15" customHeight="1" thickBot="1" x14ac:dyDescent="0.2"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</row>
    <row r="26" spans="1:17" ht="15" customHeight="1" thickBot="1" x14ac:dyDescent="0.2">
      <c r="A26" s="282" t="s">
        <v>92</v>
      </c>
      <c r="B26" s="283" t="s">
        <v>180</v>
      </c>
      <c r="C26" s="284">
        <f t="shared" ref="C26:O26" si="1">SUM(C16:C25)</f>
        <v>300000</v>
      </c>
      <c r="D26" s="284">
        <f t="shared" si="1"/>
        <v>0</v>
      </c>
      <c r="E26" s="284">
        <f t="shared" si="1"/>
        <v>310000</v>
      </c>
      <c r="F26" s="284">
        <f t="shared" si="1"/>
        <v>960000</v>
      </c>
      <c r="G26" s="284">
        <f t="shared" si="1"/>
        <v>40000</v>
      </c>
      <c r="H26" s="284">
        <f t="shared" si="1"/>
        <v>660000</v>
      </c>
      <c r="I26" s="284">
        <f t="shared" si="1"/>
        <v>0</v>
      </c>
      <c r="J26" s="284">
        <f t="shared" si="1"/>
        <v>2700000</v>
      </c>
      <c r="K26" s="284">
        <f t="shared" si="1"/>
        <v>50000</v>
      </c>
      <c r="L26" s="284">
        <f t="shared" si="1"/>
        <v>85000</v>
      </c>
      <c r="M26" s="284">
        <f t="shared" si="1"/>
        <v>100000</v>
      </c>
      <c r="N26" s="284">
        <f t="shared" si="1"/>
        <v>0</v>
      </c>
      <c r="O26" s="284">
        <f t="shared" si="1"/>
        <v>350000</v>
      </c>
      <c r="Q26" s="305">
        <f>SUM(C26:P26)</f>
        <v>5555000</v>
      </c>
    </row>
    <row r="27" spans="1:17" ht="15" customHeight="1" x14ac:dyDescent="0.15"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</row>
    <row r="39" spans="1:14" ht="15" customHeight="1" thickBot="1" x14ac:dyDescent="0.2"/>
    <row r="40" spans="1:14" ht="15" customHeight="1" thickBot="1" x14ac:dyDescent="0.2">
      <c r="A40" s="282" t="s">
        <v>92</v>
      </c>
      <c r="B40" s="283" t="s">
        <v>180</v>
      </c>
      <c r="C40" s="284">
        <f>SUM(C30:C39)</f>
        <v>0</v>
      </c>
      <c r="D40" s="284">
        <f t="shared" ref="D40:N40" si="2">SUM(D30:D39)</f>
        <v>0</v>
      </c>
      <c r="E40" s="284">
        <f t="shared" si="2"/>
        <v>0</v>
      </c>
      <c r="F40" s="284">
        <f t="shared" si="2"/>
        <v>0</v>
      </c>
      <c r="G40" s="284">
        <f t="shared" si="2"/>
        <v>0</v>
      </c>
      <c r="H40" s="284">
        <f t="shared" si="2"/>
        <v>0</v>
      </c>
      <c r="I40" s="284">
        <f t="shared" si="2"/>
        <v>0</v>
      </c>
      <c r="J40" s="284">
        <f t="shared" si="2"/>
        <v>0</v>
      </c>
      <c r="K40" s="284">
        <f t="shared" si="2"/>
        <v>0</v>
      </c>
      <c r="L40" s="284">
        <f t="shared" si="2"/>
        <v>0</v>
      </c>
      <c r="M40" s="284">
        <f t="shared" si="2"/>
        <v>0</v>
      </c>
      <c r="N40" s="284">
        <f t="shared" si="2"/>
        <v>0</v>
      </c>
    </row>
  </sheetData>
  <phoneticPr fontId="2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6C99-5BF8-4A43-8845-3BD1E20B7D9F}">
  <dimension ref="A2:Q33"/>
  <sheetViews>
    <sheetView topLeftCell="A12" workbookViewId="0">
      <selection activeCell="C32" sqref="C32"/>
    </sheetView>
  </sheetViews>
  <sheetFormatPr defaultColWidth="9.625" defaultRowHeight="15" customHeight="1" x14ac:dyDescent="0.15"/>
  <cols>
    <col min="1" max="1" width="3.625" customWidth="1"/>
    <col min="2" max="2" width="4.375" customWidth="1"/>
    <col min="3" max="3" width="11" customWidth="1"/>
    <col min="7" max="7" width="10" customWidth="1"/>
    <col min="8" max="8" width="9.25" customWidth="1"/>
    <col min="11" max="11" width="8.75" customWidth="1"/>
    <col min="12" max="12" width="8.625" customWidth="1"/>
    <col min="14" max="14" width="8.875" customWidth="1"/>
    <col min="15" max="15" width="8.5" customWidth="1"/>
    <col min="17" max="17" width="13.25" customWidth="1"/>
  </cols>
  <sheetData>
    <row r="2" spans="3:14" ht="15" customHeight="1" x14ac:dyDescent="0.15">
      <c r="C2" s="285" t="s">
        <v>93</v>
      </c>
    </row>
    <row r="3" spans="3:14" ht="15" customHeight="1" x14ac:dyDescent="0.15">
      <c r="C3" t="s">
        <v>198</v>
      </c>
      <c r="D3" t="s">
        <v>188</v>
      </c>
      <c r="E3" t="s">
        <v>189</v>
      </c>
      <c r="F3" t="s">
        <v>190</v>
      </c>
      <c r="G3" t="s">
        <v>191</v>
      </c>
      <c r="H3" t="s">
        <v>192</v>
      </c>
      <c r="I3" t="s">
        <v>153</v>
      </c>
      <c r="J3" t="s">
        <v>193</v>
      </c>
      <c r="K3" t="s">
        <v>194</v>
      </c>
      <c r="L3" t="s">
        <v>156</v>
      </c>
      <c r="M3" t="s">
        <v>187</v>
      </c>
      <c r="N3" t="s">
        <v>158</v>
      </c>
    </row>
    <row r="4" spans="3:14" ht="15" customHeight="1" x14ac:dyDescent="0.15">
      <c r="C4" s="276">
        <v>1400000</v>
      </c>
      <c r="D4" s="276">
        <v>2000</v>
      </c>
      <c r="E4" s="276">
        <v>20000</v>
      </c>
      <c r="F4" s="276">
        <v>50000</v>
      </c>
      <c r="G4" s="276">
        <v>550000</v>
      </c>
      <c r="H4" s="276">
        <v>200000</v>
      </c>
      <c r="I4" s="276">
        <v>60000</v>
      </c>
      <c r="J4" s="276"/>
      <c r="K4" s="276">
        <v>30000</v>
      </c>
      <c r="L4" s="276"/>
      <c r="M4" s="276"/>
      <c r="N4" s="276">
        <v>550</v>
      </c>
    </row>
    <row r="5" spans="3:14" ht="15" customHeight="1" x14ac:dyDescent="0.15">
      <c r="C5" s="276">
        <v>480000</v>
      </c>
      <c r="D5" s="276">
        <v>2000</v>
      </c>
      <c r="E5" s="276">
        <v>1000</v>
      </c>
      <c r="F5" s="276">
        <v>45000</v>
      </c>
      <c r="G5" s="276">
        <v>70000</v>
      </c>
      <c r="H5" s="276"/>
      <c r="I5" s="276">
        <v>100000</v>
      </c>
      <c r="J5" s="276"/>
      <c r="K5" s="276">
        <v>300000</v>
      </c>
      <c r="L5" s="276"/>
      <c r="M5" s="276">
        <v>60000</v>
      </c>
      <c r="N5" s="276">
        <v>550</v>
      </c>
    </row>
    <row r="6" spans="3:14" ht="15" customHeight="1" x14ac:dyDescent="0.15">
      <c r="C6" s="276">
        <v>90000</v>
      </c>
      <c r="D6" s="276">
        <v>4000</v>
      </c>
      <c r="E6" s="276">
        <v>10000</v>
      </c>
      <c r="F6" s="276">
        <v>7000</v>
      </c>
      <c r="G6" s="276">
        <v>50000</v>
      </c>
      <c r="H6" s="276"/>
      <c r="I6" s="276">
        <v>20000</v>
      </c>
      <c r="J6" s="276"/>
      <c r="K6" s="276"/>
      <c r="L6" s="276"/>
      <c r="M6" s="276">
        <v>180000</v>
      </c>
      <c r="N6" s="276">
        <v>10000</v>
      </c>
    </row>
    <row r="7" spans="3:14" ht="15" customHeight="1" x14ac:dyDescent="0.15">
      <c r="C7" s="276">
        <v>300000</v>
      </c>
      <c r="D7" s="276">
        <v>200000</v>
      </c>
      <c r="E7" s="276">
        <v>1267600</v>
      </c>
      <c r="F7" s="276">
        <v>100000</v>
      </c>
      <c r="G7" s="276">
        <v>110000</v>
      </c>
      <c r="H7" s="276"/>
      <c r="I7" s="276">
        <v>100000</v>
      </c>
      <c r="J7" s="276"/>
      <c r="K7" s="276"/>
      <c r="L7" s="276"/>
      <c r="M7" s="276">
        <v>30000</v>
      </c>
      <c r="N7" s="276">
        <v>10000</v>
      </c>
    </row>
    <row r="8" spans="3:14" ht="15" customHeight="1" x14ac:dyDescent="0.15">
      <c r="C8" s="276">
        <v>100000</v>
      </c>
      <c r="D8" s="276"/>
      <c r="E8" s="276">
        <v>491567</v>
      </c>
      <c r="F8" s="276"/>
      <c r="G8" s="276">
        <v>300000</v>
      </c>
      <c r="H8" s="276"/>
      <c r="I8" s="276">
        <v>40000</v>
      </c>
      <c r="J8" s="276"/>
      <c r="K8" s="276"/>
      <c r="L8" s="276"/>
      <c r="M8" s="276"/>
      <c r="N8" s="276">
        <v>120000</v>
      </c>
    </row>
    <row r="9" spans="3:14" ht="15" customHeight="1" x14ac:dyDescent="0.15">
      <c r="C9" s="276">
        <v>100000</v>
      </c>
      <c r="D9" s="276"/>
      <c r="E9" s="276">
        <v>150000</v>
      </c>
      <c r="F9" s="276"/>
      <c r="G9" s="276">
        <v>50000</v>
      </c>
      <c r="H9" s="276"/>
      <c r="I9" s="276"/>
      <c r="J9" s="276"/>
      <c r="K9" s="276"/>
      <c r="L9" s="276"/>
      <c r="M9" s="276"/>
      <c r="N9" s="276"/>
    </row>
    <row r="10" spans="3:14" ht="15" customHeight="1" x14ac:dyDescent="0.15">
      <c r="C10" s="276">
        <v>100000</v>
      </c>
      <c r="D10" s="276"/>
      <c r="E10" s="276">
        <v>10000</v>
      </c>
      <c r="F10" s="276"/>
      <c r="G10" s="276"/>
      <c r="H10" s="276"/>
      <c r="I10" s="276"/>
      <c r="J10" s="276"/>
      <c r="K10" s="276"/>
      <c r="L10" s="276"/>
      <c r="M10" s="276"/>
      <c r="N10" s="276"/>
    </row>
    <row r="11" spans="3:14" ht="15" customHeight="1" x14ac:dyDescent="0.15">
      <c r="C11" s="276">
        <v>100000</v>
      </c>
      <c r="D11" s="276"/>
      <c r="E11" s="276">
        <v>50000</v>
      </c>
      <c r="F11" s="276"/>
      <c r="G11" s="276"/>
      <c r="H11" s="276"/>
      <c r="I11" s="276"/>
      <c r="J11" s="276"/>
      <c r="K11" s="276"/>
      <c r="L11" s="276"/>
      <c r="M11" s="276"/>
      <c r="N11" s="276"/>
    </row>
    <row r="12" spans="3:14" ht="15" customHeight="1" x14ac:dyDescent="0.15">
      <c r="C12" s="276">
        <v>100000</v>
      </c>
      <c r="D12" s="276"/>
      <c r="E12" s="276">
        <v>550</v>
      </c>
      <c r="F12" s="276"/>
      <c r="G12" s="276"/>
      <c r="H12" s="276"/>
      <c r="I12" s="276"/>
      <c r="J12" s="276"/>
      <c r="K12" s="276"/>
      <c r="L12" s="276"/>
      <c r="M12" s="276"/>
      <c r="N12" s="276"/>
    </row>
    <row r="13" spans="3:14" ht="15" customHeight="1" x14ac:dyDescent="0.15">
      <c r="C13" s="276">
        <v>100000</v>
      </c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</row>
    <row r="14" spans="3:14" ht="15" customHeight="1" x14ac:dyDescent="0.15">
      <c r="C14" s="276">
        <v>100000</v>
      </c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</row>
    <row r="15" spans="3:14" ht="15" customHeight="1" x14ac:dyDescent="0.15">
      <c r="C15" s="276">
        <v>190000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</row>
    <row r="16" spans="3:14" ht="15" customHeight="1" x14ac:dyDescent="0.15">
      <c r="C16" s="276">
        <v>150000</v>
      </c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</row>
    <row r="17" spans="1:17" ht="15" customHeight="1" x14ac:dyDescent="0.15">
      <c r="C17" s="276">
        <v>8339620</v>
      </c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</row>
    <row r="18" spans="1:17" ht="15" customHeight="1" x14ac:dyDescent="0.15">
      <c r="C18" s="276">
        <v>300000</v>
      </c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</row>
    <row r="19" spans="1:17" ht="15" customHeight="1" x14ac:dyDescent="0.15">
      <c r="C19" s="276">
        <v>90000</v>
      </c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</row>
    <row r="20" spans="1:17" ht="15" customHeight="1" x14ac:dyDescent="0.15">
      <c r="C20" s="276">
        <v>1100000</v>
      </c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</row>
    <row r="21" spans="1:17" ht="15" customHeight="1" x14ac:dyDescent="0.15">
      <c r="C21" s="276">
        <v>232500</v>
      </c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</row>
    <row r="22" spans="1:17" ht="15" customHeight="1" x14ac:dyDescent="0.15">
      <c r="C22" s="276">
        <v>200000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</row>
    <row r="23" spans="1:17" ht="15" customHeight="1" x14ac:dyDescent="0.15">
      <c r="C23" s="276">
        <v>250000</v>
      </c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</row>
    <row r="24" spans="1:17" ht="15" customHeight="1" x14ac:dyDescent="0.15">
      <c r="C24" s="276">
        <v>700000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</row>
    <row r="25" spans="1:17" ht="15" customHeight="1" x14ac:dyDescent="0.15">
      <c r="C25" s="276">
        <v>140000</v>
      </c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</row>
    <row r="26" spans="1:17" ht="15" customHeight="1" x14ac:dyDescent="0.15">
      <c r="C26" s="276">
        <v>100000</v>
      </c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</row>
    <row r="27" spans="1:17" ht="15" customHeight="1" x14ac:dyDescent="0.15">
      <c r="C27" s="276">
        <v>600000</v>
      </c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</row>
    <row r="28" spans="1:17" ht="15" customHeight="1" x14ac:dyDescent="0.15">
      <c r="C28" s="276">
        <v>80000</v>
      </c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</row>
    <row r="29" spans="1:17" ht="15" customHeight="1" x14ac:dyDescent="0.15">
      <c r="C29" s="276">
        <v>1200000</v>
      </c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</row>
    <row r="30" spans="1:17" ht="15" customHeight="1" x14ac:dyDescent="0.15"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7" ht="15" customHeight="1" x14ac:dyDescent="0.15"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7" ht="15" customHeight="1" thickBot="1" x14ac:dyDescent="0.2">
      <c r="A32" s="277" t="s">
        <v>91</v>
      </c>
      <c r="B32" s="278" t="s">
        <v>180</v>
      </c>
      <c r="C32" s="279">
        <f t="shared" ref="C32:N32" si="0">SUM(C4:C31)</f>
        <v>16642120</v>
      </c>
      <c r="D32" s="279">
        <f t="shared" si="0"/>
        <v>208000</v>
      </c>
      <c r="E32" s="279">
        <f t="shared" si="0"/>
        <v>2000717</v>
      </c>
      <c r="F32" s="279">
        <f t="shared" si="0"/>
        <v>202000</v>
      </c>
      <c r="G32" s="279">
        <f t="shared" si="0"/>
        <v>1130000</v>
      </c>
      <c r="H32" s="279">
        <f t="shared" si="0"/>
        <v>200000</v>
      </c>
      <c r="I32" s="279">
        <f t="shared" si="0"/>
        <v>320000</v>
      </c>
      <c r="J32" s="279">
        <f t="shared" si="0"/>
        <v>0</v>
      </c>
      <c r="K32" s="279">
        <f t="shared" si="0"/>
        <v>330000</v>
      </c>
      <c r="L32" s="279">
        <f t="shared" si="0"/>
        <v>0</v>
      </c>
      <c r="M32" s="279">
        <f t="shared" si="0"/>
        <v>270000</v>
      </c>
      <c r="N32" s="279">
        <f t="shared" si="0"/>
        <v>141100</v>
      </c>
      <c r="Q32" s="276">
        <f>SUM(C32:P32)</f>
        <v>21443937</v>
      </c>
    </row>
    <row r="33" spans="1:14" ht="15" customHeight="1" x14ac:dyDescent="0.15">
      <c r="A33" s="280"/>
      <c r="B33" s="280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</row>
  </sheetData>
  <phoneticPr fontId="2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F7F3-A64A-4608-9E90-8ED9EC91882D}">
  <dimension ref="A2:AF22"/>
  <sheetViews>
    <sheetView topLeftCell="P1" workbookViewId="0">
      <selection activeCell="I26" sqref="I26"/>
    </sheetView>
  </sheetViews>
  <sheetFormatPr defaultColWidth="8.125" defaultRowHeight="15" customHeight="1" x14ac:dyDescent="0.15"/>
  <cols>
    <col min="1" max="1" width="1.25" customWidth="1"/>
    <col min="2" max="2" width="2" customWidth="1"/>
    <col min="3" max="3" width="8.5" bestFit="1" customWidth="1"/>
  </cols>
  <sheetData>
    <row r="2" spans="3:32" ht="15" customHeight="1" x14ac:dyDescent="0.15">
      <c r="C2" s="285" t="s">
        <v>204</v>
      </c>
      <c r="D2" s="285"/>
      <c r="E2" s="285"/>
    </row>
    <row r="3" spans="3:32" ht="15" customHeight="1" x14ac:dyDescent="0.15">
      <c r="C3" s="296" t="s">
        <v>205</v>
      </c>
      <c r="D3" s="296" t="s">
        <v>206</v>
      </c>
      <c r="E3" s="296" t="s">
        <v>207</v>
      </c>
      <c r="F3" s="296" t="s">
        <v>187</v>
      </c>
      <c r="G3" s="296" t="s">
        <v>148</v>
      </c>
      <c r="H3" s="296" t="s">
        <v>208</v>
      </c>
      <c r="I3" s="296" t="s">
        <v>209</v>
      </c>
      <c r="J3" s="296" t="s">
        <v>210</v>
      </c>
      <c r="K3" s="296" t="s">
        <v>190</v>
      </c>
      <c r="L3" s="296" t="s">
        <v>211</v>
      </c>
      <c r="M3" s="296" t="s">
        <v>212</v>
      </c>
      <c r="N3" s="296" t="s">
        <v>213</v>
      </c>
      <c r="O3" s="296" t="s">
        <v>214</v>
      </c>
      <c r="P3" s="296" t="s">
        <v>170</v>
      </c>
      <c r="Q3" s="296" t="s">
        <v>215</v>
      </c>
      <c r="R3" s="296" t="s">
        <v>193</v>
      </c>
      <c r="S3" s="296" t="s">
        <v>216</v>
      </c>
      <c r="T3" s="296" t="s">
        <v>217</v>
      </c>
      <c r="U3" s="296" t="s">
        <v>218</v>
      </c>
      <c r="V3" s="296" t="s">
        <v>219</v>
      </c>
      <c r="W3" s="296" t="s">
        <v>156</v>
      </c>
      <c r="X3" s="296" t="s">
        <v>195</v>
      </c>
      <c r="Y3" s="296" t="s">
        <v>158</v>
      </c>
      <c r="Z3" s="296" t="s">
        <v>100</v>
      </c>
      <c r="AA3" s="296" t="s">
        <v>159</v>
      </c>
      <c r="AB3" s="302" t="s">
        <v>220</v>
      </c>
      <c r="AC3" s="296"/>
      <c r="AD3" s="296"/>
      <c r="AE3" s="296"/>
    </row>
    <row r="4" spans="3:32" ht="15" customHeight="1" x14ac:dyDescent="0.15">
      <c r="C4" s="297">
        <v>16000000</v>
      </c>
      <c r="D4" s="297">
        <v>238250</v>
      </c>
      <c r="E4" s="297">
        <v>2200000</v>
      </c>
      <c r="F4" s="297">
        <v>1500000</v>
      </c>
      <c r="G4" s="297">
        <v>500000</v>
      </c>
      <c r="H4" s="297">
        <v>1000000</v>
      </c>
      <c r="I4" s="297">
        <v>66000</v>
      </c>
      <c r="J4" s="297">
        <v>100000</v>
      </c>
      <c r="K4" s="297">
        <v>700000</v>
      </c>
      <c r="L4" s="297">
        <v>100000</v>
      </c>
      <c r="M4" s="297">
        <v>600000</v>
      </c>
      <c r="N4" s="297">
        <v>400000</v>
      </c>
      <c r="O4" s="297">
        <v>5500000</v>
      </c>
      <c r="P4" s="297">
        <v>200000</v>
      </c>
      <c r="Q4" s="297">
        <v>10000</v>
      </c>
      <c r="R4" s="297">
        <v>1030000</v>
      </c>
      <c r="S4" s="297">
        <v>300000</v>
      </c>
      <c r="T4" s="297">
        <v>200000</v>
      </c>
      <c r="U4" s="297">
        <v>1000000</v>
      </c>
      <c r="V4" s="297">
        <v>580000</v>
      </c>
      <c r="W4" s="297">
        <v>50000</v>
      </c>
      <c r="X4" s="297">
        <v>300000</v>
      </c>
      <c r="Y4" s="297">
        <v>500000</v>
      </c>
      <c r="Z4" s="297">
        <v>300000</v>
      </c>
      <c r="AA4" s="297">
        <v>300000</v>
      </c>
      <c r="AB4" s="297"/>
      <c r="AC4" s="297"/>
      <c r="AD4" s="300"/>
      <c r="AE4" s="300"/>
      <c r="AF4" s="301"/>
    </row>
    <row r="5" spans="3:32" ht="15" customHeight="1" x14ac:dyDescent="0.15">
      <c r="C5" s="297"/>
      <c r="D5" s="297"/>
      <c r="E5" s="297"/>
      <c r="F5" s="297">
        <v>2243670</v>
      </c>
      <c r="G5" s="297">
        <v>1000</v>
      </c>
      <c r="H5" s="297">
        <v>364167</v>
      </c>
      <c r="I5" s="297"/>
      <c r="J5" s="297"/>
      <c r="K5" s="297">
        <v>35000</v>
      </c>
      <c r="L5" s="297"/>
      <c r="M5" s="297">
        <v>26000</v>
      </c>
      <c r="N5" s="297"/>
      <c r="O5" s="297"/>
      <c r="P5" s="297"/>
      <c r="Q5" s="297"/>
      <c r="R5" s="297"/>
      <c r="S5" s="297">
        <v>120000</v>
      </c>
      <c r="T5" s="297"/>
      <c r="U5" s="297"/>
      <c r="V5" s="297"/>
      <c r="W5" s="297"/>
      <c r="X5" s="297"/>
      <c r="Y5" s="297">
        <v>1000</v>
      </c>
      <c r="Z5" s="297"/>
      <c r="AA5" s="297">
        <v>33000</v>
      </c>
      <c r="AB5" s="297"/>
      <c r="AC5" s="297"/>
      <c r="AD5" s="300"/>
      <c r="AE5" s="300"/>
      <c r="AF5" s="300"/>
    </row>
    <row r="6" spans="3:32" ht="15" customHeight="1" x14ac:dyDescent="0.15">
      <c r="C6" s="297"/>
      <c r="D6" s="297"/>
      <c r="E6" s="297"/>
      <c r="F6" s="297">
        <v>40000</v>
      </c>
      <c r="G6" s="297"/>
      <c r="H6" s="297">
        <v>45000</v>
      </c>
      <c r="I6" s="297"/>
      <c r="J6" s="297"/>
      <c r="K6" s="297"/>
      <c r="L6" s="297"/>
      <c r="M6" s="297">
        <v>20000</v>
      </c>
      <c r="N6" s="297"/>
      <c r="O6" s="297"/>
      <c r="P6" s="297"/>
      <c r="Q6" s="297"/>
      <c r="R6" s="297"/>
      <c r="S6" s="297">
        <v>40000</v>
      </c>
      <c r="T6" s="297"/>
      <c r="U6" s="297"/>
      <c r="V6" s="297"/>
      <c r="W6" s="297"/>
      <c r="X6" s="297"/>
      <c r="Y6" s="297">
        <v>18000</v>
      </c>
      <c r="Z6" s="297"/>
      <c r="AA6" s="297">
        <v>20000</v>
      </c>
      <c r="AB6" s="297"/>
      <c r="AC6" s="297"/>
      <c r="AD6" s="300"/>
      <c r="AE6" s="300"/>
      <c r="AF6" s="300"/>
    </row>
    <row r="7" spans="3:32" ht="15" customHeight="1" x14ac:dyDescent="0.15">
      <c r="C7" s="297"/>
      <c r="D7" s="297"/>
      <c r="E7" s="297"/>
      <c r="F7" s="297">
        <v>48000</v>
      </c>
      <c r="G7" s="297"/>
      <c r="H7" s="297">
        <v>60000</v>
      </c>
      <c r="I7" s="297"/>
      <c r="J7" s="297"/>
      <c r="K7" s="297"/>
      <c r="L7" s="297"/>
      <c r="M7" s="297">
        <v>20000</v>
      </c>
      <c r="N7" s="297"/>
      <c r="O7" s="297"/>
      <c r="P7" s="297"/>
      <c r="Q7" s="297"/>
      <c r="R7" s="297"/>
      <c r="S7" s="297">
        <v>70000</v>
      </c>
      <c r="T7" s="297"/>
      <c r="U7" s="297"/>
      <c r="V7" s="297"/>
      <c r="W7" s="297"/>
      <c r="X7" s="297"/>
      <c r="Y7" s="297">
        <v>1000</v>
      </c>
      <c r="Z7" s="297"/>
      <c r="AA7" s="297">
        <v>10000</v>
      </c>
      <c r="AB7" s="297"/>
      <c r="AC7" s="297"/>
      <c r="AD7" s="300"/>
      <c r="AE7" s="300"/>
      <c r="AF7" s="300"/>
    </row>
    <row r="8" spans="3:32" ht="15" customHeight="1" x14ac:dyDescent="0.15">
      <c r="C8" s="297"/>
      <c r="D8" s="297"/>
      <c r="E8" s="297"/>
      <c r="F8" s="297">
        <v>25000</v>
      </c>
      <c r="G8" s="297"/>
      <c r="H8" s="297">
        <v>20000</v>
      </c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>
        <v>10000</v>
      </c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300"/>
      <c r="AE8" s="300"/>
      <c r="AF8" s="300"/>
    </row>
    <row r="9" spans="3:32" ht="15" customHeight="1" x14ac:dyDescent="0.15"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300"/>
      <c r="AE9" s="300"/>
      <c r="AF9" s="300"/>
    </row>
    <row r="10" spans="3:32" ht="15" customHeight="1" x14ac:dyDescent="0.15"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300"/>
      <c r="AE10" s="300"/>
      <c r="AF10" s="300"/>
    </row>
    <row r="11" spans="3:32" ht="15" customHeight="1" x14ac:dyDescent="0.15"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300"/>
      <c r="AE11" s="300"/>
      <c r="AF11" s="300"/>
    </row>
    <row r="12" spans="3:32" ht="15" customHeight="1" x14ac:dyDescent="0.15"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300"/>
      <c r="AE12" s="300"/>
      <c r="AF12" s="300"/>
    </row>
    <row r="13" spans="3:32" ht="15" customHeight="1" x14ac:dyDescent="0.15"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300"/>
      <c r="AE13" s="300"/>
      <c r="AF13" s="300"/>
    </row>
    <row r="14" spans="3:32" ht="15" customHeight="1" x14ac:dyDescent="0.15"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300"/>
      <c r="AE14" s="300"/>
      <c r="AF14" s="300"/>
    </row>
    <row r="15" spans="3:32" ht="15" customHeight="1" x14ac:dyDescent="0.15"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6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</row>
    <row r="16" spans="3:32" ht="15" customHeight="1" x14ac:dyDescent="0.15"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6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</row>
    <row r="17" spans="1:32" ht="15" customHeight="1" x14ac:dyDescent="0.15"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6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</row>
    <row r="18" spans="1:32" ht="15" customHeight="1" x14ac:dyDescent="0.15"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6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</row>
    <row r="19" spans="1:32" ht="15" customHeight="1" x14ac:dyDescent="0.15"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6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</row>
    <row r="20" spans="1:32" ht="15" customHeight="1" thickBot="1" x14ac:dyDescent="0.2">
      <c r="A20" s="277" t="s">
        <v>91</v>
      </c>
      <c r="B20" s="278" t="s">
        <v>180</v>
      </c>
      <c r="C20" s="298">
        <f t="shared" ref="C20:AF20" si="0">SUM(C4:C19)</f>
        <v>16000000</v>
      </c>
      <c r="D20" s="298">
        <f t="shared" si="0"/>
        <v>238250</v>
      </c>
      <c r="E20" s="298">
        <f t="shared" si="0"/>
        <v>2200000</v>
      </c>
      <c r="F20" s="298">
        <f t="shared" si="0"/>
        <v>3856670</v>
      </c>
      <c r="G20" s="298">
        <f t="shared" si="0"/>
        <v>501000</v>
      </c>
      <c r="H20" s="298">
        <f t="shared" si="0"/>
        <v>1489167</v>
      </c>
      <c r="I20" s="298">
        <f t="shared" si="0"/>
        <v>66000</v>
      </c>
      <c r="J20" s="298">
        <f t="shared" si="0"/>
        <v>100000</v>
      </c>
      <c r="K20" s="298">
        <f t="shared" si="0"/>
        <v>735000</v>
      </c>
      <c r="L20" s="298">
        <f t="shared" si="0"/>
        <v>100000</v>
      </c>
      <c r="M20" s="298">
        <f t="shared" si="0"/>
        <v>666000</v>
      </c>
      <c r="N20" s="298">
        <f t="shared" si="0"/>
        <v>400000</v>
      </c>
      <c r="O20" s="298">
        <f t="shared" si="0"/>
        <v>5500000</v>
      </c>
      <c r="P20" s="298">
        <f t="shared" si="0"/>
        <v>200000</v>
      </c>
      <c r="Q20" s="298">
        <f t="shared" si="0"/>
        <v>10000</v>
      </c>
      <c r="R20" s="298">
        <f t="shared" si="0"/>
        <v>1030000</v>
      </c>
      <c r="S20" s="298">
        <f t="shared" si="0"/>
        <v>540000</v>
      </c>
      <c r="T20" s="298">
        <f t="shared" si="0"/>
        <v>200000</v>
      </c>
      <c r="U20" s="298">
        <f t="shared" si="0"/>
        <v>1000000</v>
      </c>
      <c r="V20" s="298">
        <f t="shared" si="0"/>
        <v>580000</v>
      </c>
      <c r="W20" s="298">
        <f t="shared" si="0"/>
        <v>50000</v>
      </c>
      <c r="X20" s="298">
        <f t="shared" si="0"/>
        <v>300000</v>
      </c>
      <c r="Y20" s="298">
        <f t="shared" si="0"/>
        <v>520000</v>
      </c>
      <c r="Z20" s="298">
        <f t="shared" si="0"/>
        <v>300000</v>
      </c>
      <c r="AA20" s="298">
        <f t="shared" si="0"/>
        <v>363000</v>
      </c>
      <c r="AB20" s="298">
        <f t="shared" si="0"/>
        <v>0</v>
      </c>
      <c r="AC20" s="298">
        <f>SUM(C20:AB20)</f>
        <v>36945087</v>
      </c>
      <c r="AD20" s="298">
        <f t="shared" si="0"/>
        <v>0</v>
      </c>
      <c r="AE20" s="298">
        <f t="shared" si="0"/>
        <v>0</v>
      </c>
      <c r="AF20" s="298">
        <f t="shared" si="0"/>
        <v>0</v>
      </c>
    </row>
    <row r="21" spans="1:32" ht="15" customHeight="1" x14ac:dyDescent="0.15">
      <c r="A21" s="280"/>
      <c r="B21" s="280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6"/>
      <c r="U21" s="296"/>
      <c r="V21" s="296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</row>
    <row r="22" spans="1:32" ht="15" customHeight="1" x14ac:dyDescent="0.15"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</row>
  </sheetData>
  <phoneticPr fontId="2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2:H3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" sqref="J3"/>
    </sheetView>
  </sheetViews>
  <sheetFormatPr defaultRowHeight="13.5" x14ac:dyDescent="0.15"/>
  <cols>
    <col min="1" max="1" width="13.5" style="1" customWidth="1"/>
    <col min="2" max="2" width="11.5" style="138" customWidth="1"/>
    <col min="3" max="6" width="11.875" style="168" customWidth="1"/>
    <col min="7" max="8" width="10.25" style="1" bestFit="1" customWidth="1"/>
    <col min="9" max="256" width="9" style="1"/>
    <col min="257" max="257" width="13.5" style="1" customWidth="1"/>
    <col min="258" max="258" width="11.5" style="1" customWidth="1"/>
    <col min="259" max="262" width="11.875" style="1" customWidth="1"/>
    <col min="263" max="512" width="9" style="1"/>
    <col min="513" max="513" width="13.5" style="1" customWidth="1"/>
    <col min="514" max="514" width="11.5" style="1" customWidth="1"/>
    <col min="515" max="518" width="11.875" style="1" customWidth="1"/>
    <col min="519" max="768" width="9" style="1"/>
    <col min="769" max="769" width="13.5" style="1" customWidth="1"/>
    <col min="770" max="770" width="11.5" style="1" customWidth="1"/>
    <col min="771" max="774" width="11.875" style="1" customWidth="1"/>
    <col min="775" max="1024" width="9" style="1"/>
    <col min="1025" max="1025" width="13.5" style="1" customWidth="1"/>
    <col min="1026" max="1026" width="11.5" style="1" customWidth="1"/>
    <col min="1027" max="1030" width="11.875" style="1" customWidth="1"/>
    <col min="1031" max="1280" width="9" style="1"/>
    <col min="1281" max="1281" width="13.5" style="1" customWidth="1"/>
    <col min="1282" max="1282" width="11.5" style="1" customWidth="1"/>
    <col min="1283" max="1286" width="11.875" style="1" customWidth="1"/>
    <col min="1287" max="1536" width="9" style="1"/>
    <col min="1537" max="1537" width="13.5" style="1" customWidth="1"/>
    <col min="1538" max="1538" width="11.5" style="1" customWidth="1"/>
    <col min="1539" max="1542" width="11.875" style="1" customWidth="1"/>
    <col min="1543" max="1792" width="9" style="1"/>
    <col min="1793" max="1793" width="13.5" style="1" customWidth="1"/>
    <col min="1794" max="1794" width="11.5" style="1" customWidth="1"/>
    <col min="1795" max="1798" width="11.875" style="1" customWidth="1"/>
    <col min="1799" max="2048" width="9" style="1"/>
    <col min="2049" max="2049" width="13.5" style="1" customWidth="1"/>
    <col min="2050" max="2050" width="11.5" style="1" customWidth="1"/>
    <col min="2051" max="2054" width="11.875" style="1" customWidth="1"/>
    <col min="2055" max="2304" width="9" style="1"/>
    <col min="2305" max="2305" width="13.5" style="1" customWidth="1"/>
    <col min="2306" max="2306" width="11.5" style="1" customWidth="1"/>
    <col min="2307" max="2310" width="11.875" style="1" customWidth="1"/>
    <col min="2311" max="2560" width="9" style="1"/>
    <col min="2561" max="2561" width="13.5" style="1" customWidth="1"/>
    <col min="2562" max="2562" width="11.5" style="1" customWidth="1"/>
    <col min="2563" max="2566" width="11.875" style="1" customWidth="1"/>
    <col min="2567" max="2816" width="9" style="1"/>
    <col min="2817" max="2817" width="13.5" style="1" customWidth="1"/>
    <col min="2818" max="2818" width="11.5" style="1" customWidth="1"/>
    <col min="2819" max="2822" width="11.875" style="1" customWidth="1"/>
    <col min="2823" max="3072" width="9" style="1"/>
    <col min="3073" max="3073" width="13.5" style="1" customWidth="1"/>
    <col min="3074" max="3074" width="11.5" style="1" customWidth="1"/>
    <col min="3075" max="3078" width="11.875" style="1" customWidth="1"/>
    <col min="3079" max="3328" width="9" style="1"/>
    <col min="3329" max="3329" width="13.5" style="1" customWidth="1"/>
    <col min="3330" max="3330" width="11.5" style="1" customWidth="1"/>
    <col min="3331" max="3334" width="11.875" style="1" customWidth="1"/>
    <col min="3335" max="3584" width="9" style="1"/>
    <col min="3585" max="3585" width="13.5" style="1" customWidth="1"/>
    <col min="3586" max="3586" width="11.5" style="1" customWidth="1"/>
    <col min="3587" max="3590" width="11.875" style="1" customWidth="1"/>
    <col min="3591" max="3840" width="9" style="1"/>
    <col min="3841" max="3841" width="13.5" style="1" customWidth="1"/>
    <col min="3842" max="3842" width="11.5" style="1" customWidth="1"/>
    <col min="3843" max="3846" width="11.875" style="1" customWidth="1"/>
    <col min="3847" max="4096" width="9" style="1"/>
    <col min="4097" max="4097" width="13.5" style="1" customWidth="1"/>
    <col min="4098" max="4098" width="11.5" style="1" customWidth="1"/>
    <col min="4099" max="4102" width="11.875" style="1" customWidth="1"/>
    <col min="4103" max="4352" width="9" style="1"/>
    <col min="4353" max="4353" width="13.5" style="1" customWidth="1"/>
    <col min="4354" max="4354" width="11.5" style="1" customWidth="1"/>
    <col min="4355" max="4358" width="11.875" style="1" customWidth="1"/>
    <col min="4359" max="4608" width="9" style="1"/>
    <col min="4609" max="4609" width="13.5" style="1" customWidth="1"/>
    <col min="4610" max="4610" width="11.5" style="1" customWidth="1"/>
    <col min="4611" max="4614" width="11.875" style="1" customWidth="1"/>
    <col min="4615" max="4864" width="9" style="1"/>
    <col min="4865" max="4865" width="13.5" style="1" customWidth="1"/>
    <col min="4866" max="4866" width="11.5" style="1" customWidth="1"/>
    <col min="4867" max="4870" width="11.875" style="1" customWidth="1"/>
    <col min="4871" max="5120" width="9" style="1"/>
    <col min="5121" max="5121" width="13.5" style="1" customWidth="1"/>
    <col min="5122" max="5122" width="11.5" style="1" customWidth="1"/>
    <col min="5123" max="5126" width="11.875" style="1" customWidth="1"/>
    <col min="5127" max="5376" width="9" style="1"/>
    <col min="5377" max="5377" width="13.5" style="1" customWidth="1"/>
    <col min="5378" max="5378" width="11.5" style="1" customWidth="1"/>
    <col min="5379" max="5382" width="11.875" style="1" customWidth="1"/>
    <col min="5383" max="5632" width="9" style="1"/>
    <col min="5633" max="5633" width="13.5" style="1" customWidth="1"/>
    <col min="5634" max="5634" width="11.5" style="1" customWidth="1"/>
    <col min="5635" max="5638" width="11.875" style="1" customWidth="1"/>
    <col min="5639" max="5888" width="9" style="1"/>
    <col min="5889" max="5889" width="13.5" style="1" customWidth="1"/>
    <col min="5890" max="5890" width="11.5" style="1" customWidth="1"/>
    <col min="5891" max="5894" width="11.875" style="1" customWidth="1"/>
    <col min="5895" max="6144" width="9" style="1"/>
    <col min="6145" max="6145" width="13.5" style="1" customWidth="1"/>
    <col min="6146" max="6146" width="11.5" style="1" customWidth="1"/>
    <col min="6147" max="6150" width="11.875" style="1" customWidth="1"/>
    <col min="6151" max="6400" width="9" style="1"/>
    <col min="6401" max="6401" width="13.5" style="1" customWidth="1"/>
    <col min="6402" max="6402" width="11.5" style="1" customWidth="1"/>
    <col min="6403" max="6406" width="11.875" style="1" customWidth="1"/>
    <col min="6407" max="6656" width="9" style="1"/>
    <col min="6657" max="6657" width="13.5" style="1" customWidth="1"/>
    <col min="6658" max="6658" width="11.5" style="1" customWidth="1"/>
    <col min="6659" max="6662" width="11.875" style="1" customWidth="1"/>
    <col min="6663" max="6912" width="9" style="1"/>
    <col min="6913" max="6913" width="13.5" style="1" customWidth="1"/>
    <col min="6914" max="6914" width="11.5" style="1" customWidth="1"/>
    <col min="6915" max="6918" width="11.875" style="1" customWidth="1"/>
    <col min="6919" max="7168" width="9" style="1"/>
    <col min="7169" max="7169" width="13.5" style="1" customWidth="1"/>
    <col min="7170" max="7170" width="11.5" style="1" customWidth="1"/>
    <col min="7171" max="7174" width="11.875" style="1" customWidth="1"/>
    <col min="7175" max="7424" width="9" style="1"/>
    <col min="7425" max="7425" width="13.5" style="1" customWidth="1"/>
    <col min="7426" max="7426" width="11.5" style="1" customWidth="1"/>
    <col min="7427" max="7430" width="11.875" style="1" customWidth="1"/>
    <col min="7431" max="7680" width="9" style="1"/>
    <col min="7681" max="7681" width="13.5" style="1" customWidth="1"/>
    <col min="7682" max="7682" width="11.5" style="1" customWidth="1"/>
    <col min="7683" max="7686" width="11.875" style="1" customWidth="1"/>
    <col min="7687" max="7936" width="9" style="1"/>
    <col min="7937" max="7937" width="13.5" style="1" customWidth="1"/>
    <col min="7938" max="7938" width="11.5" style="1" customWidth="1"/>
    <col min="7939" max="7942" width="11.875" style="1" customWidth="1"/>
    <col min="7943" max="8192" width="9" style="1"/>
    <col min="8193" max="8193" width="13.5" style="1" customWidth="1"/>
    <col min="8194" max="8194" width="11.5" style="1" customWidth="1"/>
    <col min="8195" max="8198" width="11.875" style="1" customWidth="1"/>
    <col min="8199" max="8448" width="9" style="1"/>
    <col min="8449" max="8449" width="13.5" style="1" customWidth="1"/>
    <col min="8450" max="8450" width="11.5" style="1" customWidth="1"/>
    <col min="8451" max="8454" width="11.875" style="1" customWidth="1"/>
    <col min="8455" max="8704" width="9" style="1"/>
    <col min="8705" max="8705" width="13.5" style="1" customWidth="1"/>
    <col min="8706" max="8706" width="11.5" style="1" customWidth="1"/>
    <col min="8707" max="8710" width="11.875" style="1" customWidth="1"/>
    <col min="8711" max="8960" width="9" style="1"/>
    <col min="8961" max="8961" width="13.5" style="1" customWidth="1"/>
    <col min="8962" max="8962" width="11.5" style="1" customWidth="1"/>
    <col min="8963" max="8966" width="11.875" style="1" customWidth="1"/>
    <col min="8967" max="9216" width="9" style="1"/>
    <col min="9217" max="9217" width="13.5" style="1" customWidth="1"/>
    <col min="9218" max="9218" width="11.5" style="1" customWidth="1"/>
    <col min="9219" max="9222" width="11.875" style="1" customWidth="1"/>
    <col min="9223" max="9472" width="9" style="1"/>
    <col min="9473" max="9473" width="13.5" style="1" customWidth="1"/>
    <col min="9474" max="9474" width="11.5" style="1" customWidth="1"/>
    <col min="9475" max="9478" width="11.875" style="1" customWidth="1"/>
    <col min="9479" max="9728" width="9" style="1"/>
    <col min="9729" max="9729" width="13.5" style="1" customWidth="1"/>
    <col min="9730" max="9730" width="11.5" style="1" customWidth="1"/>
    <col min="9731" max="9734" width="11.875" style="1" customWidth="1"/>
    <col min="9735" max="9984" width="9" style="1"/>
    <col min="9985" max="9985" width="13.5" style="1" customWidth="1"/>
    <col min="9986" max="9986" width="11.5" style="1" customWidth="1"/>
    <col min="9987" max="9990" width="11.875" style="1" customWidth="1"/>
    <col min="9991" max="10240" width="9" style="1"/>
    <col min="10241" max="10241" width="13.5" style="1" customWidth="1"/>
    <col min="10242" max="10242" width="11.5" style="1" customWidth="1"/>
    <col min="10243" max="10246" width="11.875" style="1" customWidth="1"/>
    <col min="10247" max="10496" width="9" style="1"/>
    <col min="10497" max="10497" width="13.5" style="1" customWidth="1"/>
    <col min="10498" max="10498" width="11.5" style="1" customWidth="1"/>
    <col min="10499" max="10502" width="11.875" style="1" customWidth="1"/>
    <col min="10503" max="10752" width="9" style="1"/>
    <col min="10753" max="10753" width="13.5" style="1" customWidth="1"/>
    <col min="10754" max="10754" width="11.5" style="1" customWidth="1"/>
    <col min="10755" max="10758" width="11.875" style="1" customWidth="1"/>
    <col min="10759" max="11008" width="9" style="1"/>
    <col min="11009" max="11009" width="13.5" style="1" customWidth="1"/>
    <col min="11010" max="11010" width="11.5" style="1" customWidth="1"/>
    <col min="11011" max="11014" width="11.875" style="1" customWidth="1"/>
    <col min="11015" max="11264" width="9" style="1"/>
    <col min="11265" max="11265" width="13.5" style="1" customWidth="1"/>
    <col min="11266" max="11266" width="11.5" style="1" customWidth="1"/>
    <col min="11267" max="11270" width="11.875" style="1" customWidth="1"/>
    <col min="11271" max="11520" width="9" style="1"/>
    <col min="11521" max="11521" width="13.5" style="1" customWidth="1"/>
    <col min="11522" max="11522" width="11.5" style="1" customWidth="1"/>
    <col min="11523" max="11526" width="11.875" style="1" customWidth="1"/>
    <col min="11527" max="11776" width="9" style="1"/>
    <col min="11777" max="11777" width="13.5" style="1" customWidth="1"/>
    <col min="11778" max="11778" width="11.5" style="1" customWidth="1"/>
    <col min="11779" max="11782" width="11.875" style="1" customWidth="1"/>
    <col min="11783" max="12032" width="9" style="1"/>
    <col min="12033" max="12033" width="13.5" style="1" customWidth="1"/>
    <col min="12034" max="12034" width="11.5" style="1" customWidth="1"/>
    <col min="12035" max="12038" width="11.875" style="1" customWidth="1"/>
    <col min="12039" max="12288" width="9" style="1"/>
    <col min="12289" max="12289" width="13.5" style="1" customWidth="1"/>
    <col min="12290" max="12290" width="11.5" style="1" customWidth="1"/>
    <col min="12291" max="12294" width="11.875" style="1" customWidth="1"/>
    <col min="12295" max="12544" width="9" style="1"/>
    <col min="12545" max="12545" width="13.5" style="1" customWidth="1"/>
    <col min="12546" max="12546" width="11.5" style="1" customWidth="1"/>
    <col min="12547" max="12550" width="11.875" style="1" customWidth="1"/>
    <col min="12551" max="12800" width="9" style="1"/>
    <col min="12801" max="12801" width="13.5" style="1" customWidth="1"/>
    <col min="12802" max="12802" width="11.5" style="1" customWidth="1"/>
    <col min="12803" max="12806" width="11.875" style="1" customWidth="1"/>
    <col min="12807" max="13056" width="9" style="1"/>
    <col min="13057" max="13057" width="13.5" style="1" customWidth="1"/>
    <col min="13058" max="13058" width="11.5" style="1" customWidth="1"/>
    <col min="13059" max="13062" width="11.875" style="1" customWidth="1"/>
    <col min="13063" max="13312" width="9" style="1"/>
    <col min="13313" max="13313" width="13.5" style="1" customWidth="1"/>
    <col min="13314" max="13314" width="11.5" style="1" customWidth="1"/>
    <col min="13315" max="13318" width="11.875" style="1" customWidth="1"/>
    <col min="13319" max="13568" width="9" style="1"/>
    <col min="13569" max="13569" width="13.5" style="1" customWidth="1"/>
    <col min="13570" max="13570" width="11.5" style="1" customWidth="1"/>
    <col min="13571" max="13574" width="11.875" style="1" customWidth="1"/>
    <col min="13575" max="13824" width="9" style="1"/>
    <col min="13825" max="13825" width="13.5" style="1" customWidth="1"/>
    <col min="13826" max="13826" width="11.5" style="1" customWidth="1"/>
    <col min="13827" max="13830" width="11.875" style="1" customWidth="1"/>
    <col min="13831" max="14080" width="9" style="1"/>
    <col min="14081" max="14081" width="13.5" style="1" customWidth="1"/>
    <col min="14082" max="14082" width="11.5" style="1" customWidth="1"/>
    <col min="14083" max="14086" width="11.875" style="1" customWidth="1"/>
    <col min="14087" max="14336" width="9" style="1"/>
    <col min="14337" max="14337" width="13.5" style="1" customWidth="1"/>
    <col min="14338" max="14338" width="11.5" style="1" customWidth="1"/>
    <col min="14339" max="14342" width="11.875" style="1" customWidth="1"/>
    <col min="14343" max="14592" width="9" style="1"/>
    <col min="14593" max="14593" width="13.5" style="1" customWidth="1"/>
    <col min="14594" max="14594" width="11.5" style="1" customWidth="1"/>
    <col min="14595" max="14598" width="11.875" style="1" customWidth="1"/>
    <col min="14599" max="14848" width="9" style="1"/>
    <col min="14849" max="14849" width="13.5" style="1" customWidth="1"/>
    <col min="14850" max="14850" width="11.5" style="1" customWidth="1"/>
    <col min="14851" max="14854" width="11.875" style="1" customWidth="1"/>
    <col min="14855" max="15104" width="9" style="1"/>
    <col min="15105" max="15105" width="13.5" style="1" customWidth="1"/>
    <col min="15106" max="15106" width="11.5" style="1" customWidth="1"/>
    <col min="15107" max="15110" width="11.875" style="1" customWidth="1"/>
    <col min="15111" max="15360" width="9" style="1"/>
    <col min="15361" max="15361" width="13.5" style="1" customWidth="1"/>
    <col min="15362" max="15362" width="11.5" style="1" customWidth="1"/>
    <col min="15363" max="15366" width="11.875" style="1" customWidth="1"/>
    <col min="15367" max="15616" width="9" style="1"/>
    <col min="15617" max="15617" width="13.5" style="1" customWidth="1"/>
    <col min="15618" max="15618" width="11.5" style="1" customWidth="1"/>
    <col min="15619" max="15622" width="11.875" style="1" customWidth="1"/>
    <col min="15623" max="15872" width="9" style="1"/>
    <col min="15873" max="15873" width="13.5" style="1" customWidth="1"/>
    <col min="15874" max="15874" width="11.5" style="1" customWidth="1"/>
    <col min="15875" max="15878" width="11.875" style="1" customWidth="1"/>
    <col min="15879" max="16128" width="9" style="1"/>
    <col min="16129" max="16129" width="13.5" style="1" customWidth="1"/>
    <col min="16130" max="16130" width="11.5" style="1" customWidth="1"/>
    <col min="16131" max="16134" width="11.875" style="1" customWidth="1"/>
    <col min="16135" max="16384" width="9" style="1"/>
  </cols>
  <sheetData>
    <row r="2" spans="1:8" ht="20.25" customHeight="1" x14ac:dyDescent="0.15">
      <c r="A2" s="1" t="s">
        <v>226</v>
      </c>
    </row>
    <row r="4" spans="1:8" x14ac:dyDescent="0.15">
      <c r="C4" s="169" t="s">
        <v>112</v>
      </c>
      <c r="D4" s="169" t="s">
        <v>113</v>
      </c>
      <c r="E4" s="169" t="s">
        <v>114</v>
      </c>
      <c r="F4" s="169" t="s">
        <v>115</v>
      </c>
    </row>
    <row r="5" spans="1:8" ht="22.5" customHeight="1" x14ac:dyDescent="0.15">
      <c r="A5" s="1" t="s">
        <v>116</v>
      </c>
      <c r="C5" s="170">
        <v>0.68</v>
      </c>
      <c r="D5" s="170">
        <v>0.03</v>
      </c>
      <c r="E5" s="170">
        <v>0.14000000000000001</v>
      </c>
      <c r="F5" s="170">
        <v>0.15</v>
      </c>
    </row>
    <row r="6" spans="1:8" ht="19.5" customHeight="1" x14ac:dyDescent="0.15">
      <c r="A6" s="257" t="s">
        <v>117</v>
      </c>
      <c r="B6" s="174">
        <v>16000000</v>
      </c>
      <c r="C6" s="274">
        <f>SUM(B6*0.68,0)</f>
        <v>10880000</v>
      </c>
      <c r="D6" s="274">
        <f t="shared" ref="D6:D9" si="0">SUM(B6*0.03,0)</f>
        <v>480000</v>
      </c>
      <c r="E6" s="274">
        <f>SUM(B6*0.14,0)</f>
        <v>2240000</v>
      </c>
      <c r="F6" s="274">
        <f>SUM(B6-SUM(C6:E6))</f>
        <v>2400000</v>
      </c>
      <c r="G6" s="171">
        <f>C6+D6+E6</f>
        <v>13600000</v>
      </c>
      <c r="H6" s="171">
        <f>F6+G6</f>
        <v>16000000</v>
      </c>
    </row>
    <row r="7" spans="1:8" ht="19.5" customHeight="1" x14ac:dyDescent="0.15">
      <c r="A7" s="257" t="s">
        <v>118</v>
      </c>
      <c r="B7" s="174">
        <v>0</v>
      </c>
      <c r="C7" s="274">
        <f t="shared" ref="C7:C9" si="1">SUM(B7*0.68,0)</f>
        <v>0</v>
      </c>
      <c r="D7" s="274">
        <f t="shared" si="0"/>
        <v>0</v>
      </c>
      <c r="E7" s="274">
        <f t="shared" ref="E7:E9" si="2">SUM(B7*0.14,0)</f>
        <v>0</v>
      </c>
      <c r="F7" s="274">
        <f t="shared" ref="F7:F9" si="3">SUM(B7-SUM(C7:E7))</f>
        <v>0</v>
      </c>
      <c r="G7" s="171">
        <f t="shared" ref="G7:G32" si="4">C7+D7+E7</f>
        <v>0</v>
      </c>
      <c r="H7" s="171">
        <f t="shared" ref="H7:H32" si="5">F7+G7</f>
        <v>0</v>
      </c>
    </row>
    <row r="8" spans="1:8" ht="19.5" customHeight="1" x14ac:dyDescent="0.15">
      <c r="A8" s="303" t="s">
        <v>119</v>
      </c>
      <c r="B8" s="174">
        <v>238250</v>
      </c>
      <c r="C8" s="274">
        <f t="shared" si="1"/>
        <v>162010</v>
      </c>
      <c r="D8" s="274">
        <f t="shared" si="0"/>
        <v>7147.5</v>
      </c>
      <c r="E8" s="274">
        <f t="shared" si="2"/>
        <v>33355</v>
      </c>
      <c r="F8" s="274">
        <f t="shared" si="3"/>
        <v>35737.5</v>
      </c>
      <c r="G8" s="171">
        <f t="shared" si="4"/>
        <v>202512.5</v>
      </c>
      <c r="H8" s="171">
        <f t="shared" si="5"/>
        <v>238250</v>
      </c>
    </row>
    <row r="9" spans="1:8" ht="19.5" customHeight="1" x14ac:dyDescent="0.15">
      <c r="A9" s="257" t="s">
        <v>120</v>
      </c>
      <c r="B9" s="174">
        <v>2200000</v>
      </c>
      <c r="C9" s="274">
        <f t="shared" si="1"/>
        <v>1496000</v>
      </c>
      <c r="D9" s="274">
        <f t="shared" si="0"/>
        <v>66000</v>
      </c>
      <c r="E9" s="274">
        <f t="shared" si="2"/>
        <v>308000.00000000006</v>
      </c>
      <c r="F9" s="274">
        <f t="shared" si="3"/>
        <v>330000</v>
      </c>
      <c r="G9" s="171">
        <f t="shared" si="4"/>
        <v>1870000</v>
      </c>
      <c r="H9" s="171">
        <f t="shared" si="5"/>
        <v>2200000</v>
      </c>
    </row>
    <row r="10" spans="1:8" ht="19.5" customHeight="1" x14ac:dyDescent="0.15">
      <c r="A10" s="257" t="s">
        <v>121</v>
      </c>
      <c r="B10" s="174">
        <v>3856670</v>
      </c>
      <c r="C10" s="274">
        <v>0</v>
      </c>
      <c r="D10" s="274">
        <v>0</v>
      </c>
      <c r="E10" s="274">
        <v>0</v>
      </c>
      <c r="F10" s="274">
        <f t="shared" ref="F10" si="6">SUM(B10-SUM(C10:E10))</f>
        <v>3856670</v>
      </c>
      <c r="G10" s="171">
        <f t="shared" ref="G10" si="7">C10+D10+E10</f>
        <v>0</v>
      </c>
      <c r="H10" s="171">
        <f t="shared" ref="H10" si="8">F10+G10</f>
        <v>3856670</v>
      </c>
    </row>
    <row r="11" spans="1:8" ht="19.5" customHeight="1" x14ac:dyDescent="0.15">
      <c r="A11" s="257" t="s">
        <v>122</v>
      </c>
      <c r="B11" s="174">
        <v>501000</v>
      </c>
      <c r="C11" s="274">
        <f t="shared" ref="C11:C23" si="9">SUM(B11*0.68,0)</f>
        <v>340680</v>
      </c>
      <c r="D11" s="274">
        <f t="shared" ref="D11:D23" si="10">SUM(B11*0.03,0)</f>
        <v>15030</v>
      </c>
      <c r="E11" s="274">
        <f t="shared" ref="E11:E23" si="11">SUM(B11*0.14,0)</f>
        <v>70140</v>
      </c>
      <c r="F11" s="274">
        <f t="shared" ref="F11:F25" si="12">SUM(B11-SUM(C11:E11))</f>
        <v>75150</v>
      </c>
      <c r="G11" s="171">
        <f t="shared" si="4"/>
        <v>425850</v>
      </c>
      <c r="H11" s="171">
        <f t="shared" si="5"/>
        <v>501000</v>
      </c>
    </row>
    <row r="12" spans="1:8" ht="19.5" customHeight="1" x14ac:dyDescent="0.15">
      <c r="A12" s="257" t="s">
        <v>123</v>
      </c>
      <c r="B12" s="174">
        <v>1489167</v>
      </c>
      <c r="C12" s="274">
        <f t="shared" si="9"/>
        <v>1012633.56</v>
      </c>
      <c r="D12" s="274">
        <f t="shared" si="10"/>
        <v>44675.009999999995</v>
      </c>
      <c r="E12" s="274">
        <f t="shared" si="11"/>
        <v>208483.38000000003</v>
      </c>
      <c r="F12" s="274">
        <f t="shared" si="12"/>
        <v>223375.04999999981</v>
      </c>
      <c r="G12" s="171">
        <f t="shared" si="4"/>
        <v>1265791.9500000002</v>
      </c>
      <c r="H12" s="171">
        <f t="shared" si="5"/>
        <v>1489167</v>
      </c>
    </row>
    <row r="13" spans="1:8" ht="19.5" customHeight="1" x14ac:dyDescent="0.15">
      <c r="A13" s="257" t="s">
        <v>124</v>
      </c>
      <c r="B13" s="174">
        <v>66000</v>
      </c>
      <c r="C13" s="274">
        <f t="shared" si="9"/>
        <v>44880</v>
      </c>
      <c r="D13" s="274">
        <f t="shared" si="10"/>
        <v>1980</v>
      </c>
      <c r="E13" s="274">
        <f t="shared" si="11"/>
        <v>9240</v>
      </c>
      <c r="F13" s="274">
        <f t="shared" si="12"/>
        <v>9900</v>
      </c>
      <c r="G13" s="171">
        <f t="shared" si="4"/>
        <v>56100</v>
      </c>
      <c r="H13" s="171">
        <f t="shared" si="5"/>
        <v>66000</v>
      </c>
    </row>
    <row r="14" spans="1:8" ht="19.5" customHeight="1" x14ac:dyDescent="0.15">
      <c r="A14" s="257" t="s">
        <v>125</v>
      </c>
      <c r="B14" s="174">
        <v>100000</v>
      </c>
      <c r="C14" s="274">
        <f t="shared" si="9"/>
        <v>68000</v>
      </c>
      <c r="D14" s="274">
        <f t="shared" si="10"/>
        <v>3000</v>
      </c>
      <c r="E14" s="274">
        <f t="shared" si="11"/>
        <v>14000.000000000002</v>
      </c>
      <c r="F14" s="274">
        <f t="shared" si="12"/>
        <v>15000</v>
      </c>
      <c r="G14" s="171">
        <f t="shared" si="4"/>
        <v>85000</v>
      </c>
      <c r="H14" s="171">
        <f t="shared" si="5"/>
        <v>100000</v>
      </c>
    </row>
    <row r="15" spans="1:8" ht="19.5" customHeight="1" x14ac:dyDescent="0.15">
      <c r="A15" s="257" t="s">
        <v>126</v>
      </c>
      <c r="B15" s="174">
        <v>735000</v>
      </c>
      <c r="C15" s="274">
        <f t="shared" si="9"/>
        <v>499800.00000000006</v>
      </c>
      <c r="D15" s="274">
        <f t="shared" si="10"/>
        <v>22050</v>
      </c>
      <c r="E15" s="274">
        <f t="shared" si="11"/>
        <v>102900.00000000001</v>
      </c>
      <c r="F15" s="274">
        <f t="shared" si="12"/>
        <v>110249.99999999988</v>
      </c>
      <c r="G15" s="171">
        <f t="shared" si="4"/>
        <v>624750.00000000012</v>
      </c>
      <c r="H15" s="171">
        <f t="shared" si="5"/>
        <v>735000</v>
      </c>
    </row>
    <row r="16" spans="1:8" ht="19.5" customHeight="1" x14ac:dyDescent="0.15">
      <c r="A16" s="257" t="s">
        <v>127</v>
      </c>
      <c r="B16" s="174">
        <v>100000</v>
      </c>
      <c r="C16" s="274">
        <f t="shared" si="9"/>
        <v>68000</v>
      </c>
      <c r="D16" s="274">
        <f t="shared" si="10"/>
        <v>3000</v>
      </c>
      <c r="E16" s="274">
        <f t="shared" si="11"/>
        <v>14000.000000000002</v>
      </c>
      <c r="F16" s="274">
        <f t="shared" si="12"/>
        <v>15000</v>
      </c>
      <c r="G16" s="171">
        <f t="shared" si="4"/>
        <v>85000</v>
      </c>
      <c r="H16" s="171">
        <f t="shared" si="5"/>
        <v>100000</v>
      </c>
    </row>
    <row r="17" spans="1:8" ht="19.5" customHeight="1" x14ac:dyDescent="0.15">
      <c r="A17" s="257" t="s">
        <v>128</v>
      </c>
      <c r="B17" s="174">
        <v>666000</v>
      </c>
      <c r="C17" s="274">
        <f t="shared" si="9"/>
        <v>452880.00000000006</v>
      </c>
      <c r="D17" s="274">
        <f t="shared" si="10"/>
        <v>19980</v>
      </c>
      <c r="E17" s="274">
        <f t="shared" si="11"/>
        <v>93240.000000000015</v>
      </c>
      <c r="F17" s="274">
        <f t="shared" si="12"/>
        <v>99899.999999999884</v>
      </c>
      <c r="G17" s="171">
        <f t="shared" si="4"/>
        <v>566100.00000000012</v>
      </c>
      <c r="H17" s="171">
        <f t="shared" si="5"/>
        <v>666000</v>
      </c>
    </row>
    <row r="18" spans="1:8" ht="19.5" customHeight="1" x14ac:dyDescent="0.15">
      <c r="A18" s="257" t="s">
        <v>129</v>
      </c>
      <c r="B18" s="174">
        <v>0</v>
      </c>
      <c r="C18" s="274">
        <f t="shared" si="9"/>
        <v>0</v>
      </c>
      <c r="D18" s="274">
        <f t="shared" si="10"/>
        <v>0</v>
      </c>
      <c r="E18" s="274">
        <f t="shared" si="11"/>
        <v>0</v>
      </c>
      <c r="F18" s="274">
        <f t="shared" si="12"/>
        <v>0</v>
      </c>
      <c r="G18" s="171">
        <f t="shared" si="4"/>
        <v>0</v>
      </c>
      <c r="H18" s="171">
        <f t="shared" si="5"/>
        <v>0</v>
      </c>
    </row>
    <row r="19" spans="1:8" ht="19.5" customHeight="1" x14ac:dyDescent="0.15">
      <c r="A19" s="257" t="s">
        <v>130</v>
      </c>
      <c r="B19" s="174">
        <v>400000</v>
      </c>
      <c r="C19" s="274">
        <f t="shared" si="9"/>
        <v>272000</v>
      </c>
      <c r="D19" s="274">
        <f t="shared" si="10"/>
        <v>12000</v>
      </c>
      <c r="E19" s="274">
        <f t="shared" si="11"/>
        <v>56000.000000000007</v>
      </c>
      <c r="F19" s="274">
        <f t="shared" si="12"/>
        <v>60000</v>
      </c>
      <c r="G19" s="171">
        <f t="shared" si="4"/>
        <v>340000</v>
      </c>
      <c r="H19" s="171">
        <f t="shared" si="5"/>
        <v>400000</v>
      </c>
    </row>
    <row r="20" spans="1:8" ht="19.5" customHeight="1" x14ac:dyDescent="0.15">
      <c r="A20" s="257" t="s">
        <v>131</v>
      </c>
      <c r="B20" s="174">
        <v>5500000</v>
      </c>
      <c r="C20" s="274">
        <f t="shared" si="9"/>
        <v>3740000.0000000005</v>
      </c>
      <c r="D20" s="274">
        <f t="shared" si="10"/>
        <v>165000</v>
      </c>
      <c r="E20" s="274">
        <f t="shared" si="11"/>
        <v>770000.00000000012</v>
      </c>
      <c r="F20" s="274">
        <f t="shared" si="12"/>
        <v>824999.99999999907</v>
      </c>
      <c r="G20" s="171">
        <f t="shared" si="4"/>
        <v>4675000.0000000009</v>
      </c>
      <c r="H20" s="171">
        <f t="shared" si="5"/>
        <v>5500000</v>
      </c>
    </row>
    <row r="21" spans="1:8" ht="19.5" customHeight="1" x14ac:dyDescent="0.15">
      <c r="A21" s="257" t="s">
        <v>132</v>
      </c>
      <c r="B21" s="174">
        <v>200000</v>
      </c>
      <c r="C21" s="274">
        <f t="shared" si="9"/>
        <v>136000</v>
      </c>
      <c r="D21" s="274">
        <f t="shared" si="10"/>
        <v>6000</v>
      </c>
      <c r="E21" s="274">
        <f t="shared" si="11"/>
        <v>28000.000000000004</v>
      </c>
      <c r="F21" s="274">
        <f t="shared" si="12"/>
        <v>30000</v>
      </c>
      <c r="G21" s="171">
        <f t="shared" si="4"/>
        <v>170000</v>
      </c>
      <c r="H21" s="171">
        <f t="shared" si="5"/>
        <v>200000</v>
      </c>
    </row>
    <row r="22" spans="1:8" ht="19.5" customHeight="1" x14ac:dyDescent="0.15">
      <c r="A22" s="257" t="s">
        <v>133</v>
      </c>
      <c r="B22" s="174">
        <v>10000</v>
      </c>
      <c r="C22" s="274">
        <f t="shared" si="9"/>
        <v>6800.0000000000009</v>
      </c>
      <c r="D22" s="274">
        <f t="shared" si="10"/>
        <v>300</v>
      </c>
      <c r="E22" s="274">
        <f t="shared" si="11"/>
        <v>1400.0000000000002</v>
      </c>
      <c r="F22" s="274">
        <f t="shared" si="12"/>
        <v>1499.9999999999982</v>
      </c>
      <c r="G22" s="171">
        <f t="shared" si="4"/>
        <v>8500.0000000000018</v>
      </c>
      <c r="H22" s="171">
        <f t="shared" si="5"/>
        <v>10000</v>
      </c>
    </row>
    <row r="23" spans="1:8" ht="19.5" customHeight="1" x14ac:dyDescent="0.15">
      <c r="A23" s="257" t="s">
        <v>134</v>
      </c>
      <c r="B23" s="174">
        <v>1030000</v>
      </c>
      <c r="C23" s="274">
        <f t="shared" si="9"/>
        <v>700400</v>
      </c>
      <c r="D23" s="274">
        <f t="shared" si="10"/>
        <v>30900</v>
      </c>
      <c r="E23" s="274">
        <f t="shared" si="11"/>
        <v>144200</v>
      </c>
      <c r="F23" s="274">
        <f t="shared" si="12"/>
        <v>154500</v>
      </c>
      <c r="G23" s="171">
        <f t="shared" si="4"/>
        <v>875500</v>
      </c>
      <c r="H23" s="171">
        <f t="shared" si="5"/>
        <v>1030000</v>
      </c>
    </row>
    <row r="24" spans="1:8" ht="19.5" customHeight="1" x14ac:dyDescent="0.15">
      <c r="A24" s="257" t="s">
        <v>135</v>
      </c>
      <c r="B24" s="174">
        <v>540000</v>
      </c>
      <c r="C24" s="274">
        <v>0</v>
      </c>
      <c r="D24" s="274">
        <v>0</v>
      </c>
      <c r="E24" s="274">
        <v>0</v>
      </c>
      <c r="F24" s="274">
        <f t="shared" si="12"/>
        <v>540000</v>
      </c>
      <c r="G24" s="171">
        <f t="shared" si="4"/>
        <v>0</v>
      </c>
      <c r="H24" s="171">
        <f t="shared" si="5"/>
        <v>540000</v>
      </c>
    </row>
    <row r="25" spans="1:8" ht="19.5" customHeight="1" x14ac:dyDescent="0.15">
      <c r="A25" s="257" t="s">
        <v>136</v>
      </c>
      <c r="B25" s="174">
        <v>200000</v>
      </c>
      <c r="C25" s="274">
        <v>0</v>
      </c>
      <c r="D25" s="274">
        <v>0</v>
      </c>
      <c r="E25" s="274">
        <v>0</v>
      </c>
      <c r="F25" s="274">
        <f t="shared" si="12"/>
        <v>200000</v>
      </c>
      <c r="G25" s="171">
        <f t="shared" si="4"/>
        <v>0</v>
      </c>
      <c r="H25" s="171">
        <f t="shared" si="5"/>
        <v>200000</v>
      </c>
    </row>
    <row r="26" spans="1:8" ht="19.5" customHeight="1" x14ac:dyDescent="0.15">
      <c r="A26" s="257" t="s">
        <v>137</v>
      </c>
      <c r="B26" s="174">
        <v>1000000</v>
      </c>
      <c r="C26" s="274">
        <f>SUM(B26*0.68,0)</f>
        <v>680000</v>
      </c>
      <c r="D26" s="274">
        <f>SUM(B26*0.03,0)</f>
        <v>30000</v>
      </c>
      <c r="E26" s="274">
        <f>SUM(B26*0.14,0)</f>
        <v>140000</v>
      </c>
      <c r="F26" s="274">
        <f>SUM(B26-SUM(C26:E26))</f>
        <v>150000</v>
      </c>
      <c r="G26" s="171">
        <f t="shared" si="4"/>
        <v>850000</v>
      </c>
      <c r="H26" s="171">
        <f t="shared" si="5"/>
        <v>1000000</v>
      </c>
    </row>
    <row r="27" spans="1:8" ht="19.5" customHeight="1" x14ac:dyDescent="0.15">
      <c r="A27" s="257" t="s">
        <v>138</v>
      </c>
      <c r="B27" s="174">
        <v>580000</v>
      </c>
      <c r="C27" s="274">
        <v>0</v>
      </c>
      <c r="D27" s="274">
        <v>0</v>
      </c>
      <c r="E27" s="274">
        <v>0</v>
      </c>
      <c r="F27" s="274">
        <f>SUM(B27-SUM(C27:E27))</f>
        <v>580000</v>
      </c>
      <c r="G27" s="171">
        <f t="shared" si="4"/>
        <v>0</v>
      </c>
      <c r="H27" s="171">
        <f t="shared" si="5"/>
        <v>580000</v>
      </c>
    </row>
    <row r="28" spans="1:8" ht="19.5" customHeight="1" x14ac:dyDescent="0.15">
      <c r="A28" s="257" t="s">
        <v>139</v>
      </c>
      <c r="B28" s="174">
        <v>50000</v>
      </c>
      <c r="C28" s="274">
        <f t="shared" ref="C28:C32" si="13">SUM(B28*0.68,0)</f>
        <v>34000</v>
      </c>
      <c r="D28" s="274">
        <f t="shared" ref="D28:D32" si="14">SUM(B28*0.03,0)</f>
        <v>1500</v>
      </c>
      <c r="E28" s="274">
        <f t="shared" ref="E28:E32" si="15">SUM(B28*0.14,0)</f>
        <v>7000.0000000000009</v>
      </c>
      <c r="F28" s="274">
        <f t="shared" ref="F28:F32" si="16">SUM(B28-SUM(C28:E28))</f>
        <v>7500</v>
      </c>
      <c r="G28" s="171">
        <f t="shared" si="4"/>
        <v>42500</v>
      </c>
      <c r="H28" s="171">
        <f t="shared" si="5"/>
        <v>50000</v>
      </c>
    </row>
    <row r="29" spans="1:8" ht="19.5" customHeight="1" x14ac:dyDescent="0.15">
      <c r="A29" s="257" t="s">
        <v>140</v>
      </c>
      <c r="B29" s="174">
        <v>300000</v>
      </c>
      <c r="C29" s="274">
        <f t="shared" si="13"/>
        <v>204000.00000000003</v>
      </c>
      <c r="D29" s="274">
        <f t="shared" si="14"/>
        <v>9000</v>
      </c>
      <c r="E29" s="274">
        <f t="shared" si="15"/>
        <v>42000.000000000007</v>
      </c>
      <c r="F29" s="274">
        <f t="shared" si="16"/>
        <v>44999.999999999971</v>
      </c>
      <c r="G29" s="171">
        <f t="shared" si="4"/>
        <v>255000.00000000003</v>
      </c>
      <c r="H29" s="171">
        <f t="shared" si="5"/>
        <v>300000</v>
      </c>
    </row>
    <row r="30" spans="1:8" ht="19.5" customHeight="1" x14ac:dyDescent="0.15">
      <c r="A30" s="257" t="s">
        <v>141</v>
      </c>
      <c r="B30" s="174">
        <v>520000</v>
      </c>
      <c r="C30" s="274">
        <f t="shared" si="13"/>
        <v>353600</v>
      </c>
      <c r="D30" s="274">
        <f t="shared" si="14"/>
        <v>15600</v>
      </c>
      <c r="E30" s="274">
        <f t="shared" si="15"/>
        <v>72800</v>
      </c>
      <c r="F30" s="274">
        <f t="shared" si="16"/>
        <v>78000</v>
      </c>
      <c r="G30" s="171">
        <f t="shared" si="4"/>
        <v>442000</v>
      </c>
      <c r="H30" s="171">
        <f t="shared" si="5"/>
        <v>520000</v>
      </c>
    </row>
    <row r="31" spans="1:8" ht="19.5" customHeight="1" x14ac:dyDescent="0.15">
      <c r="A31" s="257" t="s">
        <v>142</v>
      </c>
      <c r="B31" s="174">
        <v>300000</v>
      </c>
      <c r="C31" s="274">
        <f t="shared" si="13"/>
        <v>204000.00000000003</v>
      </c>
      <c r="D31" s="274">
        <f t="shared" si="14"/>
        <v>9000</v>
      </c>
      <c r="E31" s="274">
        <f t="shared" si="15"/>
        <v>42000.000000000007</v>
      </c>
      <c r="F31" s="274">
        <f t="shared" si="16"/>
        <v>44999.999999999971</v>
      </c>
      <c r="G31" s="171">
        <f t="shared" si="4"/>
        <v>255000.00000000003</v>
      </c>
      <c r="H31" s="171">
        <f t="shared" si="5"/>
        <v>300000</v>
      </c>
    </row>
    <row r="32" spans="1:8" ht="19.5" customHeight="1" thickBot="1" x14ac:dyDescent="0.2">
      <c r="A32" s="318" t="s">
        <v>143</v>
      </c>
      <c r="B32" s="319">
        <v>363000</v>
      </c>
      <c r="C32" s="320">
        <f t="shared" si="13"/>
        <v>246840.00000000003</v>
      </c>
      <c r="D32" s="320">
        <f t="shared" si="14"/>
        <v>10890</v>
      </c>
      <c r="E32" s="320">
        <f t="shared" si="15"/>
        <v>50820.000000000007</v>
      </c>
      <c r="F32" s="320">
        <f t="shared" si="16"/>
        <v>54449.999999999942</v>
      </c>
      <c r="G32" s="171">
        <f t="shared" si="4"/>
        <v>308550.00000000006</v>
      </c>
      <c r="H32" s="171">
        <f t="shared" si="5"/>
        <v>363000</v>
      </c>
    </row>
    <row r="33" spans="1:8" ht="21" customHeight="1" x14ac:dyDescent="0.15">
      <c r="A33" s="321" t="s">
        <v>144</v>
      </c>
      <c r="B33" s="322">
        <f t="shared" ref="B33:H33" si="17">SUM(B6:B32)</f>
        <v>36945087</v>
      </c>
      <c r="C33" s="322">
        <f t="shared" si="17"/>
        <v>21602523.560000002</v>
      </c>
      <c r="D33" s="322">
        <f t="shared" si="17"/>
        <v>953052.51</v>
      </c>
      <c r="E33" s="322">
        <f t="shared" si="17"/>
        <v>4447578.38</v>
      </c>
      <c r="F33" s="322">
        <f t="shared" si="17"/>
        <v>9941932.5499999989</v>
      </c>
      <c r="G33" s="322">
        <f t="shared" si="17"/>
        <v>27003154.449999999</v>
      </c>
      <c r="H33" s="323">
        <f t="shared" si="17"/>
        <v>36945087</v>
      </c>
    </row>
    <row r="34" spans="1:8" ht="21" customHeight="1" x14ac:dyDescent="0.15">
      <c r="A34" s="2" t="s">
        <v>145</v>
      </c>
      <c r="B34" s="172"/>
      <c r="C34" s="173"/>
      <c r="D34" s="173"/>
      <c r="E34" s="173"/>
      <c r="F34" s="173"/>
    </row>
    <row r="35" spans="1:8" ht="21" customHeight="1" x14ac:dyDescent="0.15">
      <c r="A35" s="2"/>
      <c r="G35" s="171">
        <f>SUM(C33:E33)</f>
        <v>27003154.450000003</v>
      </c>
    </row>
    <row r="36" spans="1:8" x14ac:dyDescent="0.15">
      <c r="A36" s="2"/>
    </row>
    <row r="37" spans="1:8" ht="18" customHeight="1" x14ac:dyDescent="0.15"/>
    <row r="38" spans="1:8" ht="18" customHeight="1" x14ac:dyDescent="0.15"/>
    <row r="39" spans="1:8" ht="18" customHeight="1" x14ac:dyDescent="0.15"/>
  </sheetData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3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16.125" style="1" customWidth="1"/>
    <col min="2" max="7" width="11.875" style="168" customWidth="1"/>
    <col min="8" max="8" width="10.25" style="1" bestFit="1" customWidth="1"/>
    <col min="9" max="256" width="9" style="1"/>
    <col min="257" max="257" width="16.125" style="1" customWidth="1"/>
    <col min="258" max="263" width="11.875" style="1" customWidth="1"/>
    <col min="264" max="512" width="9" style="1"/>
    <col min="513" max="513" width="16.125" style="1" customWidth="1"/>
    <col min="514" max="519" width="11.875" style="1" customWidth="1"/>
    <col min="520" max="768" width="9" style="1"/>
    <col min="769" max="769" width="16.125" style="1" customWidth="1"/>
    <col min="770" max="775" width="11.875" style="1" customWidth="1"/>
    <col min="776" max="1024" width="9" style="1"/>
    <col min="1025" max="1025" width="16.125" style="1" customWidth="1"/>
    <col min="1026" max="1031" width="11.875" style="1" customWidth="1"/>
    <col min="1032" max="1280" width="9" style="1"/>
    <col min="1281" max="1281" width="16.125" style="1" customWidth="1"/>
    <col min="1282" max="1287" width="11.875" style="1" customWidth="1"/>
    <col min="1288" max="1536" width="9" style="1"/>
    <col min="1537" max="1537" width="16.125" style="1" customWidth="1"/>
    <col min="1538" max="1543" width="11.875" style="1" customWidth="1"/>
    <col min="1544" max="1792" width="9" style="1"/>
    <col min="1793" max="1793" width="16.125" style="1" customWidth="1"/>
    <col min="1794" max="1799" width="11.875" style="1" customWidth="1"/>
    <col min="1800" max="2048" width="9" style="1"/>
    <col min="2049" max="2049" width="16.125" style="1" customWidth="1"/>
    <col min="2050" max="2055" width="11.875" style="1" customWidth="1"/>
    <col min="2056" max="2304" width="9" style="1"/>
    <col min="2305" max="2305" width="16.125" style="1" customWidth="1"/>
    <col min="2306" max="2311" width="11.875" style="1" customWidth="1"/>
    <col min="2312" max="2560" width="9" style="1"/>
    <col min="2561" max="2561" width="16.125" style="1" customWidth="1"/>
    <col min="2562" max="2567" width="11.875" style="1" customWidth="1"/>
    <col min="2568" max="2816" width="9" style="1"/>
    <col min="2817" max="2817" width="16.125" style="1" customWidth="1"/>
    <col min="2818" max="2823" width="11.875" style="1" customWidth="1"/>
    <col min="2824" max="3072" width="9" style="1"/>
    <col min="3073" max="3073" width="16.125" style="1" customWidth="1"/>
    <col min="3074" max="3079" width="11.875" style="1" customWidth="1"/>
    <col min="3080" max="3328" width="9" style="1"/>
    <col min="3329" max="3329" width="16.125" style="1" customWidth="1"/>
    <col min="3330" max="3335" width="11.875" style="1" customWidth="1"/>
    <col min="3336" max="3584" width="9" style="1"/>
    <col min="3585" max="3585" width="16.125" style="1" customWidth="1"/>
    <col min="3586" max="3591" width="11.875" style="1" customWidth="1"/>
    <col min="3592" max="3840" width="9" style="1"/>
    <col min="3841" max="3841" width="16.125" style="1" customWidth="1"/>
    <col min="3842" max="3847" width="11.875" style="1" customWidth="1"/>
    <col min="3848" max="4096" width="9" style="1"/>
    <col min="4097" max="4097" width="16.125" style="1" customWidth="1"/>
    <col min="4098" max="4103" width="11.875" style="1" customWidth="1"/>
    <col min="4104" max="4352" width="9" style="1"/>
    <col min="4353" max="4353" width="16.125" style="1" customWidth="1"/>
    <col min="4354" max="4359" width="11.875" style="1" customWidth="1"/>
    <col min="4360" max="4608" width="9" style="1"/>
    <col min="4609" max="4609" width="16.125" style="1" customWidth="1"/>
    <col min="4610" max="4615" width="11.875" style="1" customWidth="1"/>
    <col min="4616" max="4864" width="9" style="1"/>
    <col min="4865" max="4865" width="16.125" style="1" customWidth="1"/>
    <col min="4866" max="4871" width="11.875" style="1" customWidth="1"/>
    <col min="4872" max="5120" width="9" style="1"/>
    <col min="5121" max="5121" width="16.125" style="1" customWidth="1"/>
    <col min="5122" max="5127" width="11.875" style="1" customWidth="1"/>
    <col min="5128" max="5376" width="9" style="1"/>
    <col min="5377" max="5377" width="16.125" style="1" customWidth="1"/>
    <col min="5378" max="5383" width="11.875" style="1" customWidth="1"/>
    <col min="5384" max="5632" width="9" style="1"/>
    <col min="5633" max="5633" width="16.125" style="1" customWidth="1"/>
    <col min="5634" max="5639" width="11.875" style="1" customWidth="1"/>
    <col min="5640" max="5888" width="9" style="1"/>
    <col min="5889" max="5889" width="16.125" style="1" customWidth="1"/>
    <col min="5890" max="5895" width="11.875" style="1" customWidth="1"/>
    <col min="5896" max="6144" width="9" style="1"/>
    <col min="6145" max="6145" width="16.125" style="1" customWidth="1"/>
    <col min="6146" max="6151" width="11.875" style="1" customWidth="1"/>
    <col min="6152" max="6400" width="9" style="1"/>
    <col min="6401" max="6401" width="16.125" style="1" customWidth="1"/>
    <col min="6402" max="6407" width="11.875" style="1" customWidth="1"/>
    <col min="6408" max="6656" width="9" style="1"/>
    <col min="6657" max="6657" width="16.125" style="1" customWidth="1"/>
    <col min="6658" max="6663" width="11.875" style="1" customWidth="1"/>
    <col min="6664" max="6912" width="9" style="1"/>
    <col min="6913" max="6913" width="16.125" style="1" customWidth="1"/>
    <col min="6914" max="6919" width="11.875" style="1" customWidth="1"/>
    <col min="6920" max="7168" width="9" style="1"/>
    <col min="7169" max="7169" width="16.125" style="1" customWidth="1"/>
    <col min="7170" max="7175" width="11.875" style="1" customWidth="1"/>
    <col min="7176" max="7424" width="9" style="1"/>
    <col min="7425" max="7425" width="16.125" style="1" customWidth="1"/>
    <col min="7426" max="7431" width="11.875" style="1" customWidth="1"/>
    <col min="7432" max="7680" width="9" style="1"/>
    <col min="7681" max="7681" width="16.125" style="1" customWidth="1"/>
    <col min="7682" max="7687" width="11.875" style="1" customWidth="1"/>
    <col min="7688" max="7936" width="9" style="1"/>
    <col min="7937" max="7937" width="16.125" style="1" customWidth="1"/>
    <col min="7938" max="7943" width="11.875" style="1" customWidth="1"/>
    <col min="7944" max="8192" width="9" style="1"/>
    <col min="8193" max="8193" width="16.125" style="1" customWidth="1"/>
    <col min="8194" max="8199" width="11.875" style="1" customWidth="1"/>
    <col min="8200" max="8448" width="9" style="1"/>
    <col min="8449" max="8449" width="16.125" style="1" customWidth="1"/>
    <col min="8450" max="8455" width="11.875" style="1" customWidth="1"/>
    <col min="8456" max="8704" width="9" style="1"/>
    <col min="8705" max="8705" width="16.125" style="1" customWidth="1"/>
    <col min="8706" max="8711" width="11.875" style="1" customWidth="1"/>
    <col min="8712" max="8960" width="9" style="1"/>
    <col min="8961" max="8961" width="16.125" style="1" customWidth="1"/>
    <col min="8962" max="8967" width="11.875" style="1" customWidth="1"/>
    <col min="8968" max="9216" width="9" style="1"/>
    <col min="9217" max="9217" width="16.125" style="1" customWidth="1"/>
    <col min="9218" max="9223" width="11.875" style="1" customWidth="1"/>
    <col min="9224" max="9472" width="9" style="1"/>
    <col min="9473" max="9473" width="16.125" style="1" customWidth="1"/>
    <col min="9474" max="9479" width="11.875" style="1" customWidth="1"/>
    <col min="9480" max="9728" width="9" style="1"/>
    <col min="9729" max="9729" width="16.125" style="1" customWidth="1"/>
    <col min="9730" max="9735" width="11.875" style="1" customWidth="1"/>
    <col min="9736" max="9984" width="9" style="1"/>
    <col min="9985" max="9985" width="16.125" style="1" customWidth="1"/>
    <col min="9986" max="9991" width="11.875" style="1" customWidth="1"/>
    <col min="9992" max="10240" width="9" style="1"/>
    <col min="10241" max="10241" width="16.125" style="1" customWidth="1"/>
    <col min="10242" max="10247" width="11.875" style="1" customWidth="1"/>
    <col min="10248" max="10496" width="9" style="1"/>
    <col min="10497" max="10497" width="16.125" style="1" customWidth="1"/>
    <col min="10498" max="10503" width="11.875" style="1" customWidth="1"/>
    <col min="10504" max="10752" width="9" style="1"/>
    <col min="10753" max="10753" width="16.125" style="1" customWidth="1"/>
    <col min="10754" max="10759" width="11.875" style="1" customWidth="1"/>
    <col min="10760" max="11008" width="9" style="1"/>
    <col min="11009" max="11009" width="16.125" style="1" customWidth="1"/>
    <col min="11010" max="11015" width="11.875" style="1" customWidth="1"/>
    <col min="11016" max="11264" width="9" style="1"/>
    <col min="11265" max="11265" width="16.125" style="1" customWidth="1"/>
    <col min="11266" max="11271" width="11.875" style="1" customWidth="1"/>
    <col min="11272" max="11520" width="9" style="1"/>
    <col min="11521" max="11521" width="16.125" style="1" customWidth="1"/>
    <col min="11522" max="11527" width="11.875" style="1" customWidth="1"/>
    <col min="11528" max="11776" width="9" style="1"/>
    <col min="11777" max="11777" width="16.125" style="1" customWidth="1"/>
    <col min="11778" max="11783" width="11.875" style="1" customWidth="1"/>
    <col min="11784" max="12032" width="9" style="1"/>
    <col min="12033" max="12033" width="16.125" style="1" customWidth="1"/>
    <col min="12034" max="12039" width="11.875" style="1" customWidth="1"/>
    <col min="12040" max="12288" width="9" style="1"/>
    <col min="12289" max="12289" width="16.125" style="1" customWidth="1"/>
    <col min="12290" max="12295" width="11.875" style="1" customWidth="1"/>
    <col min="12296" max="12544" width="9" style="1"/>
    <col min="12545" max="12545" width="16.125" style="1" customWidth="1"/>
    <col min="12546" max="12551" width="11.875" style="1" customWidth="1"/>
    <col min="12552" max="12800" width="9" style="1"/>
    <col min="12801" max="12801" width="16.125" style="1" customWidth="1"/>
    <col min="12802" max="12807" width="11.875" style="1" customWidth="1"/>
    <col min="12808" max="13056" width="9" style="1"/>
    <col min="13057" max="13057" width="16.125" style="1" customWidth="1"/>
    <col min="13058" max="13063" width="11.875" style="1" customWidth="1"/>
    <col min="13064" max="13312" width="9" style="1"/>
    <col min="13313" max="13313" width="16.125" style="1" customWidth="1"/>
    <col min="13314" max="13319" width="11.875" style="1" customWidth="1"/>
    <col min="13320" max="13568" width="9" style="1"/>
    <col min="13569" max="13569" width="16.125" style="1" customWidth="1"/>
    <col min="13570" max="13575" width="11.875" style="1" customWidth="1"/>
    <col min="13576" max="13824" width="9" style="1"/>
    <col min="13825" max="13825" width="16.125" style="1" customWidth="1"/>
    <col min="13826" max="13831" width="11.875" style="1" customWidth="1"/>
    <col min="13832" max="14080" width="9" style="1"/>
    <col min="14081" max="14081" width="16.125" style="1" customWidth="1"/>
    <col min="14082" max="14087" width="11.875" style="1" customWidth="1"/>
    <col min="14088" max="14336" width="9" style="1"/>
    <col min="14337" max="14337" width="16.125" style="1" customWidth="1"/>
    <col min="14338" max="14343" width="11.875" style="1" customWidth="1"/>
    <col min="14344" max="14592" width="9" style="1"/>
    <col min="14593" max="14593" width="16.125" style="1" customWidth="1"/>
    <col min="14594" max="14599" width="11.875" style="1" customWidth="1"/>
    <col min="14600" max="14848" width="9" style="1"/>
    <col min="14849" max="14849" width="16.125" style="1" customWidth="1"/>
    <col min="14850" max="14855" width="11.875" style="1" customWidth="1"/>
    <col min="14856" max="15104" width="9" style="1"/>
    <col min="15105" max="15105" width="16.125" style="1" customWidth="1"/>
    <col min="15106" max="15111" width="11.875" style="1" customWidth="1"/>
    <col min="15112" max="15360" width="9" style="1"/>
    <col min="15361" max="15361" width="16.125" style="1" customWidth="1"/>
    <col min="15362" max="15367" width="11.875" style="1" customWidth="1"/>
    <col min="15368" max="15616" width="9" style="1"/>
    <col min="15617" max="15617" width="16.125" style="1" customWidth="1"/>
    <col min="15618" max="15623" width="11.875" style="1" customWidth="1"/>
    <col min="15624" max="15872" width="9" style="1"/>
    <col min="15873" max="15873" width="16.125" style="1" customWidth="1"/>
    <col min="15874" max="15879" width="11.875" style="1" customWidth="1"/>
    <col min="15880" max="16128" width="9" style="1"/>
    <col min="16129" max="16129" width="16.125" style="1" customWidth="1"/>
    <col min="16130" max="16135" width="11.875" style="1" customWidth="1"/>
    <col min="16136" max="16384" width="9" style="1"/>
  </cols>
  <sheetData>
    <row r="1" spans="1:10" ht="24" customHeight="1" x14ac:dyDescent="0.15">
      <c r="A1" s="1" t="s">
        <v>227</v>
      </c>
    </row>
    <row r="3" spans="1:10" ht="18" customHeight="1" x14ac:dyDescent="0.15">
      <c r="A3" s="175"/>
      <c r="B3" s="176" t="s">
        <v>82</v>
      </c>
      <c r="C3" s="176" t="s">
        <v>7</v>
      </c>
      <c r="D3" s="176" t="s">
        <v>8</v>
      </c>
      <c r="E3" s="176" t="s">
        <v>9</v>
      </c>
      <c r="F3" s="176" t="s">
        <v>10</v>
      </c>
      <c r="G3" s="176" t="s">
        <v>11</v>
      </c>
    </row>
    <row r="4" spans="1:10" s="179" customFormat="1" ht="18" customHeight="1" x14ac:dyDescent="0.15">
      <c r="A4" s="177"/>
      <c r="B4" s="178">
        <v>0.68</v>
      </c>
      <c r="C4" s="178">
        <v>0.18</v>
      </c>
      <c r="D4" s="178">
        <v>0.28000000000000003</v>
      </c>
      <c r="E4" s="178">
        <v>0.05</v>
      </c>
      <c r="F4" s="178">
        <v>0.09</v>
      </c>
      <c r="G4" s="178">
        <v>0.08</v>
      </c>
    </row>
    <row r="5" spans="1:10" ht="21.75" customHeight="1" x14ac:dyDescent="0.15">
      <c r="A5" s="175" t="s">
        <v>47</v>
      </c>
      <c r="B5" s="180">
        <v>10880000</v>
      </c>
      <c r="C5" s="180">
        <f>B5/$J$5*$J$6</f>
        <v>2880000</v>
      </c>
      <c r="D5" s="180">
        <f>B5/$J$5*$J$7</f>
        <v>4480000</v>
      </c>
      <c r="E5" s="180">
        <f>B5/$J$5*$J$8</f>
        <v>800000</v>
      </c>
      <c r="F5" s="180">
        <f>B5/$J$5*$J$9</f>
        <v>1440000</v>
      </c>
      <c r="G5" s="180">
        <f>B5/$J$5*$J$10</f>
        <v>1280000</v>
      </c>
      <c r="H5" s="171">
        <f>SUM(C5:G5)</f>
        <v>10880000</v>
      </c>
      <c r="J5" s="1">
        <v>68</v>
      </c>
    </row>
    <row r="6" spans="1:10" ht="21.75" customHeight="1" x14ac:dyDescent="0.15">
      <c r="A6" s="175" t="s">
        <v>164</v>
      </c>
      <c r="B6" s="180">
        <v>0</v>
      </c>
      <c r="C6" s="180">
        <f t="shared" ref="C6:C28" si="0">B6/$J$5*$J$6</f>
        <v>0</v>
      </c>
      <c r="D6" s="180">
        <f t="shared" ref="D6:D28" si="1">B6/$J$5*$J$7</f>
        <v>0</v>
      </c>
      <c r="E6" s="180">
        <f t="shared" ref="E6:E28" si="2">B6/$J$5*$J$8</f>
        <v>0</v>
      </c>
      <c r="F6" s="180">
        <f t="shared" ref="F6:F28" si="3">B6/$J$5*$J$9</f>
        <v>0</v>
      </c>
      <c r="G6" s="180">
        <f t="shared" ref="G6:G27" si="4">B6/$J$5*$J$10</f>
        <v>0</v>
      </c>
      <c r="H6" s="171">
        <f>SUM(C6:G6)</f>
        <v>0</v>
      </c>
      <c r="J6" s="1">
        <v>18</v>
      </c>
    </row>
    <row r="7" spans="1:10" ht="21.75" customHeight="1" x14ac:dyDescent="0.15">
      <c r="A7" s="175" t="s">
        <v>48</v>
      </c>
      <c r="B7" s="180">
        <v>162010</v>
      </c>
      <c r="C7" s="180">
        <f t="shared" si="0"/>
        <v>42885</v>
      </c>
      <c r="D7" s="180">
        <f t="shared" si="1"/>
        <v>66710</v>
      </c>
      <c r="E7" s="180">
        <f t="shared" si="2"/>
        <v>11912.5</v>
      </c>
      <c r="F7" s="180">
        <f t="shared" si="3"/>
        <v>21442.5</v>
      </c>
      <c r="G7" s="180">
        <f t="shared" si="4"/>
        <v>19060</v>
      </c>
      <c r="H7" s="171">
        <f t="shared" ref="H7:H29" si="5">SUM(C7:G7)</f>
        <v>162010</v>
      </c>
      <c r="J7" s="1">
        <v>28</v>
      </c>
    </row>
    <row r="8" spans="1:10" ht="21.75" customHeight="1" x14ac:dyDescent="0.15">
      <c r="A8" s="175" t="s">
        <v>49</v>
      </c>
      <c r="B8" s="180">
        <v>1496000</v>
      </c>
      <c r="C8" s="180">
        <f t="shared" si="0"/>
        <v>396000</v>
      </c>
      <c r="D8" s="180">
        <f t="shared" si="1"/>
        <v>616000</v>
      </c>
      <c r="E8" s="180">
        <f t="shared" si="2"/>
        <v>110000</v>
      </c>
      <c r="F8" s="180">
        <f t="shared" si="3"/>
        <v>198000</v>
      </c>
      <c r="G8" s="180">
        <f t="shared" si="4"/>
        <v>176000</v>
      </c>
      <c r="H8" s="171">
        <f t="shared" si="5"/>
        <v>1496000</v>
      </c>
      <c r="J8" s="1">
        <v>5</v>
      </c>
    </row>
    <row r="9" spans="1:10" ht="21.75" customHeight="1" x14ac:dyDescent="0.15">
      <c r="A9" s="175" t="s">
        <v>50</v>
      </c>
      <c r="B9" s="180">
        <v>340680</v>
      </c>
      <c r="C9" s="180">
        <f t="shared" si="0"/>
        <v>90180</v>
      </c>
      <c r="D9" s="180">
        <f t="shared" si="1"/>
        <v>140280</v>
      </c>
      <c r="E9" s="180">
        <f t="shared" si="2"/>
        <v>25050</v>
      </c>
      <c r="F9" s="180">
        <f t="shared" si="3"/>
        <v>45090</v>
      </c>
      <c r="G9" s="180">
        <f t="shared" si="4"/>
        <v>40080</v>
      </c>
      <c r="H9" s="171">
        <f t="shared" si="5"/>
        <v>340680</v>
      </c>
      <c r="J9" s="1">
        <v>9</v>
      </c>
    </row>
    <row r="10" spans="1:10" ht="21.75" customHeight="1" x14ac:dyDescent="0.15">
      <c r="A10" s="175" t="s">
        <v>51</v>
      </c>
      <c r="B10" s="180">
        <v>1012634</v>
      </c>
      <c r="C10" s="180">
        <f t="shared" si="0"/>
        <v>268050.17647058825</v>
      </c>
      <c r="D10" s="180">
        <f t="shared" si="1"/>
        <v>416966.9411764706</v>
      </c>
      <c r="E10" s="180">
        <f t="shared" si="2"/>
        <v>74458.382352941175</v>
      </c>
      <c r="F10" s="180">
        <f t="shared" si="3"/>
        <v>134025.08823529413</v>
      </c>
      <c r="G10" s="180">
        <f t="shared" si="4"/>
        <v>119133.41176470589</v>
      </c>
      <c r="H10" s="171">
        <f t="shared" si="5"/>
        <v>1012634</v>
      </c>
      <c r="J10" s="1">
        <v>8</v>
      </c>
    </row>
    <row r="11" spans="1:10" ht="21.75" customHeight="1" x14ac:dyDescent="0.15">
      <c r="A11" s="175" t="s">
        <v>52</v>
      </c>
      <c r="B11" s="180">
        <v>44880</v>
      </c>
      <c r="C11" s="180">
        <f t="shared" si="0"/>
        <v>11880</v>
      </c>
      <c r="D11" s="180">
        <f t="shared" si="1"/>
        <v>18480</v>
      </c>
      <c r="E11" s="180">
        <f t="shared" si="2"/>
        <v>3300</v>
      </c>
      <c r="F11" s="180">
        <f t="shared" si="3"/>
        <v>5940</v>
      </c>
      <c r="G11" s="180">
        <f t="shared" si="4"/>
        <v>5280</v>
      </c>
      <c r="H11" s="171">
        <f t="shared" si="5"/>
        <v>44880</v>
      </c>
    </row>
    <row r="12" spans="1:10" ht="21.75" customHeight="1" x14ac:dyDescent="0.15">
      <c r="A12" s="175" t="s">
        <v>53</v>
      </c>
      <c r="B12" s="180">
        <v>68000</v>
      </c>
      <c r="C12" s="180">
        <f t="shared" si="0"/>
        <v>18000</v>
      </c>
      <c r="D12" s="180">
        <f t="shared" si="1"/>
        <v>28000</v>
      </c>
      <c r="E12" s="180">
        <f t="shared" si="2"/>
        <v>5000</v>
      </c>
      <c r="F12" s="180">
        <f t="shared" si="3"/>
        <v>9000</v>
      </c>
      <c r="G12" s="180">
        <f t="shared" si="4"/>
        <v>8000</v>
      </c>
      <c r="H12" s="171">
        <f t="shared" si="5"/>
        <v>68000</v>
      </c>
    </row>
    <row r="13" spans="1:10" ht="21.75" customHeight="1" x14ac:dyDescent="0.15">
      <c r="A13" s="175" t="s">
        <v>54</v>
      </c>
      <c r="B13" s="180">
        <v>499800</v>
      </c>
      <c r="C13" s="180">
        <f t="shared" si="0"/>
        <v>132300</v>
      </c>
      <c r="D13" s="180">
        <f t="shared" si="1"/>
        <v>205800</v>
      </c>
      <c r="E13" s="180">
        <f t="shared" si="2"/>
        <v>36750</v>
      </c>
      <c r="F13" s="180">
        <f t="shared" si="3"/>
        <v>66150</v>
      </c>
      <c r="G13" s="180">
        <f t="shared" si="4"/>
        <v>58800</v>
      </c>
      <c r="H13" s="171">
        <f t="shared" si="5"/>
        <v>499800</v>
      </c>
    </row>
    <row r="14" spans="1:10" ht="21.75" customHeight="1" x14ac:dyDescent="0.15">
      <c r="A14" s="175" t="s">
        <v>55</v>
      </c>
      <c r="B14" s="180">
        <v>68000</v>
      </c>
      <c r="C14" s="180">
        <f t="shared" si="0"/>
        <v>18000</v>
      </c>
      <c r="D14" s="180">
        <f t="shared" si="1"/>
        <v>28000</v>
      </c>
      <c r="E14" s="180">
        <f t="shared" si="2"/>
        <v>5000</v>
      </c>
      <c r="F14" s="180">
        <f t="shared" si="3"/>
        <v>9000</v>
      </c>
      <c r="G14" s="180">
        <f t="shared" si="4"/>
        <v>8000</v>
      </c>
      <c r="H14" s="171">
        <f t="shared" si="5"/>
        <v>68000</v>
      </c>
    </row>
    <row r="15" spans="1:10" ht="21.75" customHeight="1" x14ac:dyDescent="0.15">
      <c r="A15" s="175" t="s">
        <v>56</v>
      </c>
      <c r="B15" s="180">
        <v>452880</v>
      </c>
      <c r="C15" s="180">
        <f t="shared" si="0"/>
        <v>119880</v>
      </c>
      <c r="D15" s="180">
        <f t="shared" si="1"/>
        <v>186480</v>
      </c>
      <c r="E15" s="180">
        <f t="shared" si="2"/>
        <v>33300</v>
      </c>
      <c r="F15" s="180">
        <f t="shared" si="3"/>
        <v>59940</v>
      </c>
      <c r="G15" s="180">
        <f t="shared" si="4"/>
        <v>53280</v>
      </c>
      <c r="H15" s="171">
        <f t="shared" si="5"/>
        <v>452880</v>
      </c>
    </row>
    <row r="16" spans="1:10" ht="21.75" customHeight="1" x14ac:dyDescent="0.15">
      <c r="A16" s="175" t="s">
        <v>57</v>
      </c>
      <c r="B16" s="180">
        <v>0</v>
      </c>
      <c r="C16" s="180">
        <f t="shared" si="0"/>
        <v>0</v>
      </c>
      <c r="D16" s="180">
        <f t="shared" si="1"/>
        <v>0</v>
      </c>
      <c r="E16" s="180">
        <f t="shared" si="2"/>
        <v>0</v>
      </c>
      <c r="F16" s="180">
        <f t="shared" si="3"/>
        <v>0</v>
      </c>
      <c r="G16" s="180">
        <f t="shared" si="4"/>
        <v>0</v>
      </c>
      <c r="H16" s="171">
        <f t="shared" si="5"/>
        <v>0</v>
      </c>
    </row>
    <row r="17" spans="1:8" ht="21.75" customHeight="1" x14ac:dyDescent="0.15">
      <c r="A17" s="175" t="s">
        <v>58</v>
      </c>
      <c r="B17" s="180">
        <v>272000</v>
      </c>
      <c r="C17" s="180">
        <f t="shared" si="0"/>
        <v>72000</v>
      </c>
      <c r="D17" s="180">
        <f t="shared" si="1"/>
        <v>112000</v>
      </c>
      <c r="E17" s="180">
        <f t="shared" si="2"/>
        <v>20000</v>
      </c>
      <c r="F17" s="180">
        <f t="shared" si="3"/>
        <v>36000</v>
      </c>
      <c r="G17" s="180">
        <f t="shared" si="4"/>
        <v>32000</v>
      </c>
      <c r="H17" s="171">
        <f t="shared" si="5"/>
        <v>272000</v>
      </c>
    </row>
    <row r="18" spans="1:8" ht="21.75" customHeight="1" x14ac:dyDescent="0.15">
      <c r="A18" s="175" t="s">
        <v>59</v>
      </c>
      <c r="B18" s="180">
        <v>3740000</v>
      </c>
      <c r="C18" s="180">
        <f t="shared" si="0"/>
        <v>990000</v>
      </c>
      <c r="D18" s="180">
        <f t="shared" si="1"/>
        <v>1540000</v>
      </c>
      <c r="E18" s="180">
        <f t="shared" si="2"/>
        <v>275000</v>
      </c>
      <c r="F18" s="180">
        <f t="shared" si="3"/>
        <v>495000</v>
      </c>
      <c r="G18" s="180">
        <f t="shared" si="4"/>
        <v>440000</v>
      </c>
      <c r="H18" s="171">
        <f t="shared" si="5"/>
        <v>3740000</v>
      </c>
    </row>
    <row r="19" spans="1:8" ht="21.75" customHeight="1" x14ac:dyDescent="0.15">
      <c r="A19" s="175" t="s">
        <v>60</v>
      </c>
      <c r="B19" s="180">
        <v>136000</v>
      </c>
      <c r="C19" s="180">
        <f t="shared" si="0"/>
        <v>36000</v>
      </c>
      <c r="D19" s="180">
        <f t="shared" si="1"/>
        <v>56000</v>
      </c>
      <c r="E19" s="180">
        <f t="shared" si="2"/>
        <v>10000</v>
      </c>
      <c r="F19" s="180">
        <f t="shared" si="3"/>
        <v>18000</v>
      </c>
      <c r="G19" s="180">
        <f t="shared" si="4"/>
        <v>16000</v>
      </c>
      <c r="H19" s="171">
        <f t="shared" si="5"/>
        <v>136000</v>
      </c>
    </row>
    <row r="20" spans="1:8" ht="21.75" customHeight="1" x14ac:dyDescent="0.15">
      <c r="A20" s="175" t="s">
        <v>61</v>
      </c>
      <c r="B20" s="180">
        <v>6800</v>
      </c>
      <c r="C20" s="180">
        <f t="shared" si="0"/>
        <v>1800</v>
      </c>
      <c r="D20" s="180">
        <f t="shared" si="1"/>
        <v>2800</v>
      </c>
      <c r="E20" s="180">
        <f t="shared" si="2"/>
        <v>500</v>
      </c>
      <c r="F20" s="180">
        <f t="shared" si="3"/>
        <v>900</v>
      </c>
      <c r="G20" s="180">
        <f t="shared" si="4"/>
        <v>800</v>
      </c>
      <c r="H20" s="171">
        <f t="shared" si="5"/>
        <v>6800</v>
      </c>
    </row>
    <row r="21" spans="1:8" ht="21.75" customHeight="1" x14ac:dyDescent="0.15">
      <c r="A21" s="175" t="s">
        <v>62</v>
      </c>
      <c r="B21" s="180">
        <v>700400</v>
      </c>
      <c r="C21" s="180">
        <f t="shared" si="0"/>
        <v>185400</v>
      </c>
      <c r="D21" s="180">
        <f t="shared" si="1"/>
        <v>288400</v>
      </c>
      <c r="E21" s="180">
        <f t="shared" si="2"/>
        <v>51500</v>
      </c>
      <c r="F21" s="180">
        <f t="shared" si="3"/>
        <v>92700</v>
      </c>
      <c r="G21" s="180">
        <f t="shared" si="4"/>
        <v>82400</v>
      </c>
      <c r="H21" s="171">
        <f t="shared" si="5"/>
        <v>700400</v>
      </c>
    </row>
    <row r="22" spans="1:8" ht="21.75" customHeight="1" x14ac:dyDescent="0.15">
      <c r="A22" s="175" t="s">
        <v>63</v>
      </c>
      <c r="B22" s="180">
        <v>680000</v>
      </c>
      <c r="C22" s="180">
        <f t="shared" si="0"/>
        <v>180000</v>
      </c>
      <c r="D22" s="180">
        <f t="shared" si="1"/>
        <v>280000</v>
      </c>
      <c r="E22" s="180">
        <f t="shared" si="2"/>
        <v>50000</v>
      </c>
      <c r="F22" s="180">
        <f t="shared" si="3"/>
        <v>90000</v>
      </c>
      <c r="G22" s="180">
        <f t="shared" si="4"/>
        <v>80000</v>
      </c>
      <c r="H22" s="171">
        <f t="shared" si="5"/>
        <v>680000</v>
      </c>
    </row>
    <row r="23" spans="1:8" ht="21.75" customHeight="1" x14ac:dyDescent="0.15">
      <c r="A23" s="175" t="s">
        <v>64</v>
      </c>
      <c r="B23" s="180">
        <v>34000</v>
      </c>
      <c r="C23" s="180">
        <f t="shared" si="0"/>
        <v>9000</v>
      </c>
      <c r="D23" s="180">
        <f t="shared" si="1"/>
        <v>14000</v>
      </c>
      <c r="E23" s="180">
        <f t="shared" si="2"/>
        <v>2500</v>
      </c>
      <c r="F23" s="180">
        <f t="shared" si="3"/>
        <v>4500</v>
      </c>
      <c r="G23" s="180">
        <f t="shared" si="4"/>
        <v>4000</v>
      </c>
      <c r="H23" s="171">
        <f t="shared" si="5"/>
        <v>34000</v>
      </c>
    </row>
    <row r="24" spans="1:8" ht="21.75" customHeight="1" x14ac:dyDescent="0.15">
      <c r="A24" s="175" t="s">
        <v>65</v>
      </c>
      <c r="B24" s="180">
        <v>204000</v>
      </c>
      <c r="C24" s="180">
        <f t="shared" si="0"/>
        <v>54000</v>
      </c>
      <c r="D24" s="180">
        <f t="shared" si="1"/>
        <v>84000</v>
      </c>
      <c r="E24" s="180">
        <f t="shared" si="2"/>
        <v>15000</v>
      </c>
      <c r="F24" s="180">
        <f t="shared" si="3"/>
        <v>27000</v>
      </c>
      <c r="G24" s="180">
        <f t="shared" si="4"/>
        <v>24000</v>
      </c>
      <c r="H24" s="171">
        <f t="shared" si="5"/>
        <v>204000</v>
      </c>
    </row>
    <row r="25" spans="1:8" ht="21.75" customHeight="1" x14ac:dyDescent="0.15">
      <c r="A25" s="175" t="s">
        <v>66</v>
      </c>
      <c r="B25" s="180">
        <v>353600</v>
      </c>
      <c r="C25" s="180">
        <f t="shared" si="0"/>
        <v>93600</v>
      </c>
      <c r="D25" s="180">
        <f t="shared" si="1"/>
        <v>145600</v>
      </c>
      <c r="E25" s="180">
        <f t="shared" si="2"/>
        <v>26000</v>
      </c>
      <c r="F25" s="180">
        <f t="shared" si="3"/>
        <v>46800</v>
      </c>
      <c r="G25" s="180">
        <f t="shared" si="4"/>
        <v>41600</v>
      </c>
      <c r="H25" s="171">
        <f t="shared" si="5"/>
        <v>353600</v>
      </c>
    </row>
    <row r="26" spans="1:8" ht="21.75" customHeight="1" x14ac:dyDescent="0.15">
      <c r="A26" s="175" t="s">
        <v>100</v>
      </c>
      <c r="B26" s="274">
        <v>204000</v>
      </c>
      <c r="C26" s="274">
        <f t="shared" si="0"/>
        <v>54000</v>
      </c>
      <c r="D26" s="274">
        <f t="shared" si="1"/>
        <v>84000</v>
      </c>
      <c r="E26" s="274">
        <f t="shared" si="2"/>
        <v>15000</v>
      </c>
      <c r="F26" s="274">
        <f t="shared" si="3"/>
        <v>27000</v>
      </c>
      <c r="G26" s="274">
        <f t="shared" si="4"/>
        <v>24000</v>
      </c>
      <c r="H26" s="171">
        <f t="shared" si="5"/>
        <v>204000</v>
      </c>
    </row>
    <row r="27" spans="1:8" ht="21.75" customHeight="1" x14ac:dyDescent="0.15">
      <c r="A27" s="175" t="s">
        <v>67</v>
      </c>
      <c r="B27" s="180">
        <v>246840</v>
      </c>
      <c r="C27" s="180">
        <f t="shared" si="0"/>
        <v>65340</v>
      </c>
      <c r="D27" s="180">
        <f t="shared" si="1"/>
        <v>101640</v>
      </c>
      <c r="E27" s="180">
        <f t="shared" si="2"/>
        <v>18150</v>
      </c>
      <c r="F27" s="180">
        <f t="shared" si="3"/>
        <v>32670</v>
      </c>
      <c r="G27" s="180">
        <f t="shared" si="4"/>
        <v>29040</v>
      </c>
      <c r="H27" s="171">
        <f t="shared" si="5"/>
        <v>246840</v>
      </c>
    </row>
    <row r="28" spans="1:8" ht="21.75" customHeight="1" thickBot="1" x14ac:dyDescent="0.2">
      <c r="A28" s="304" t="s">
        <v>101</v>
      </c>
      <c r="B28" s="290">
        <v>0</v>
      </c>
      <c r="C28" s="274">
        <f t="shared" si="0"/>
        <v>0</v>
      </c>
      <c r="D28" s="274">
        <f t="shared" si="1"/>
        <v>0</v>
      </c>
      <c r="E28" s="274">
        <f t="shared" si="2"/>
        <v>0</v>
      </c>
      <c r="F28" s="274">
        <f t="shared" si="3"/>
        <v>0</v>
      </c>
      <c r="G28" s="274">
        <f>B28/$J$5*$J$10</f>
        <v>0</v>
      </c>
      <c r="H28" s="171">
        <f t="shared" si="5"/>
        <v>0</v>
      </c>
    </row>
    <row r="29" spans="1:8" ht="21.75" customHeight="1" thickTop="1" x14ac:dyDescent="0.15">
      <c r="A29" s="181" t="s">
        <v>83</v>
      </c>
      <c r="B29" s="182">
        <f t="shared" ref="B29:G29" si="6">SUM(B5:B28)</f>
        <v>21602524</v>
      </c>
      <c r="C29" s="182">
        <f>SUM(C5:C28)</f>
        <v>5718315.1764705889</v>
      </c>
      <c r="D29" s="182">
        <f t="shared" si="6"/>
        <v>8895156.9411764704</v>
      </c>
      <c r="E29" s="182">
        <f t="shared" si="6"/>
        <v>1588420.8823529412</v>
      </c>
      <c r="F29" s="182">
        <f t="shared" si="6"/>
        <v>2859157.5882352944</v>
      </c>
      <c r="G29" s="182">
        <f t="shared" si="6"/>
        <v>2541473.4117647056</v>
      </c>
      <c r="H29" s="171">
        <f t="shared" si="5"/>
        <v>21602524</v>
      </c>
    </row>
    <row r="30" spans="1:8" ht="21.75" customHeight="1" x14ac:dyDescent="0.15">
      <c r="A30" s="1" t="s">
        <v>108</v>
      </c>
    </row>
    <row r="31" spans="1:8" x14ac:dyDescent="0.15">
      <c r="B31" s="217"/>
      <c r="C31" s="217"/>
      <c r="D31" s="217"/>
      <c r="E31" s="217"/>
      <c r="F31" s="217"/>
      <c r="G31" s="217"/>
    </row>
  </sheetData>
  <phoneticPr fontId="2"/>
  <printOptions horizontalCentered="1"/>
  <pageMargins left="0.55118110236220474" right="0.39370078740157483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1FE2-4B0A-49B4-B062-27D3F39FEB2B}">
  <sheetPr>
    <tabColor rgb="FFFFFF00"/>
    <pageSetUpPr fitToPage="1"/>
  </sheetPr>
  <dimension ref="A1:I30"/>
  <sheetViews>
    <sheetView zoomScale="85" zoomScaleNormal="85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I19" sqref="I19"/>
    </sheetView>
  </sheetViews>
  <sheetFormatPr defaultRowHeight="13.5" x14ac:dyDescent="0.15"/>
  <cols>
    <col min="1" max="1" width="14.375" style="1" customWidth="1"/>
    <col min="2" max="2" width="11.875" style="168" customWidth="1"/>
    <col min="3" max="3" width="11.375" style="168" customWidth="1"/>
    <col min="4" max="4" width="10.75" style="168" customWidth="1"/>
    <col min="5" max="5" width="10.125" style="168" customWidth="1"/>
    <col min="6" max="6" width="11.125" style="168" customWidth="1"/>
    <col min="7" max="7" width="10.5" style="168" customWidth="1"/>
    <col min="8" max="8" width="10.875" style="168" customWidth="1"/>
    <col min="9" max="9" width="10.25" style="1" bestFit="1" customWidth="1"/>
    <col min="10" max="257" width="9" style="1"/>
    <col min="258" max="258" width="16.125" style="1" customWidth="1"/>
    <col min="259" max="264" width="11.875" style="1" customWidth="1"/>
    <col min="265" max="513" width="9" style="1"/>
    <col min="514" max="514" width="16.125" style="1" customWidth="1"/>
    <col min="515" max="520" width="11.875" style="1" customWidth="1"/>
    <col min="521" max="769" width="9" style="1"/>
    <col min="770" max="770" width="16.125" style="1" customWidth="1"/>
    <col min="771" max="776" width="11.875" style="1" customWidth="1"/>
    <col min="777" max="1025" width="9" style="1"/>
    <col min="1026" max="1026" width="16.125" style="1" customWidth="1"/>
    <col min="1027" max="1032" width="11.875" style="1" customWidth="1"/>
    <col min="1033" max="1281" width="9" style="1"/>
    <col min="1282" max="1282" width="16.125" style="1" customWidth="1"/>
    <col min="1283" max="1288" width="11.875" style="1" customWidth="1"/>
    <col min="1289" max="1537" width="9" style="1"/>
    <col min="1538" max="1538" width="16.125" style="1" customWidth="1"/>
    <col min="1539" max="1544" width="11.875" style="1" customWidth="1"/>
    <col min="1545" max="1793" width="9" style="1"/>
    <col min="1794" max="1794" width="16.125" style="1" customWidth="1"/>
    <col min="1795" max="1800" width="11.875" style="1" customWidth="1"/>
    <col min="1801" max="2049" width="9" style="1"/>
    <col min="2050" max="2050" width="16.125" style="1" customWidth="1"/>
    <col min="2051" max="2056" width="11.875" style="1" customWidth="1"/>
    <col min="2057" max="2305" width="9" style="1"/>
    <col min="2306" max="2306" width="16.125" style="1" customWidth="1"/>
    <col min="2307" max="2312" width="11.875" style="1" customWidth="1"/>
    <col min="2313" max="2561" width="9" style="1"/>
    <col min="2562" max="2562" width="16.125" style="1" customWidth="1"/>
    <col min="2563" max="2568" width="11.875" style="1" customWidth="1"/>
    <col min="2569" max="2817" width="9" style="1"/>
    <col min="2818" max="2818" width="16.125" style="1" customWidth="1"/>
    <col min="2819" max="2824" width="11.875" style="1" customWidth="1"/>
    <col min="2825" max="3073" width="9" style="1"/>
    <col min="3074" max="3074" width="16.125" style="1" customWidth="1"/>
    <col min="3075" max="3080" width="11.875" style="1" customWidth="1"/>
    <col min="3081" max="3329" width="9" style="1"/>
    <col min="3330" max="3330" width="16.125" style="1" customWidth="1"/>
    <col min="3331" max="3336" width="11.875" style="1" customWidth="1"/>
    <col min="3337" max="3585" width="9" style="1"/>
    <col min="3586" max="3586" width="16.125" style="1" customWidth="1"/>
    <col min="3587" max="3592" width="11.875" style="1" customWidth="1"/>
    <col min="3593" max="3841" width="9" style="1"/>
    <col min="3842" max="3842" width="16.125" style="1" customWidth="1"/>
    <col min="3843" max="3848" width="11.875" style="1" customWidth="1"/>
    <col min="3849" max="4097" width="9" style="1"/>
    <col min="4098" max="4098" width="16.125" style="1" customWidth="1"/>
    <col min="4099" max="4104" width="11.875" style="1" customWidth="1"/>
    <col min="4105" max="4353" width="9" style="1"/>
    <col min="4354" max="4354" width="16.125" style="1" customWidth="1"/>
    <col min="4355" max="4360" width="11.875" style="1" customWidth="1"/>
    <col min="4361" max="4609" width="9" style="1"/>
    <col min="4610" max="4610" width="16.125" style="1" customWidth="1"/>
    <col min="4611" max="4616" width="11.875" style="1" customWidth="1"/>
    <col min="4617" max="4865" width="9" style="1"/>
    <col min="4866" max="4866" width="16.125" style="1" customWidth="1"/>
    <col min="4867" max="4872" width="11.875" style="1" customWidth="1"/>
    <col min="4873" max="5121" width="9" style="1"/>
    <col min="5122" max="5122" width="16.125" style="1" customWidth="1"/>
    <col min="5123" max="5128" width="11.875" style="1" customWidth="1"/>
    <col min="5129" max="5377" width="9" style="1"/>
    <col min="5378" max="5378" width="16.125" style="1" customWidth="1"/>
    <col min="5379" max="5384" width="11.875" style="1" customWidth="1"/>
    <col min="5385" max="5633" width="9" style="1"/>
    <col min="5634" max="5634" width="16.125" style="1" customWidth="1"/>
    <col min="5635" max="5640" width="11.875" style="1" customWidth="1"/>
    <col min="5641" max="5889" width="9" style="1"/>
    <col min="5890" max="5890" width="16.125" style="1" customWidth="1"/>
    <col min="5891" max="5896" width="11.875" style="1" customWidth="1"/>
    <col min="5897" max="6145" width="9" style="1"/>
    <col min="6146" max="6146" width="16.125" style="1" customWidth="1"/>
    <col min="6147" max="6152" width="11.875" style="1" customWidth="1"/>
    <col min="6153" max="6401" width="9" style="1"/>
    <col min="6402" max="6402" width="16.125" style="1" customWidth="1"/>
    <col min="6403" max="6408" width="11.875" style="1" customWidth="1"/>
    <col min="6409" max="6657" width="9" style="1"/>
    <col min="6658" max="6658" width="16.125" style="1" customWidth="1"/>
    <col min="6659" max="6664" width="11.875" style="1" customWidth="1"/>
    <col min="6665" max="6913" width="9" style="1"/>
    <col min="6914" max="6914" width="16.125" style="1" customWidth="1"/>
    <col min="6915" max="6920" width="11.875" style="1" customWidth="1"/>
    <col min="6921" max="7169" width="9" style="1"/>
    <col min="7170" max="7170" width="16.125" style="1" customWidth="1"/>
    <col min="7171" max="7176" width="11.875" style="1" customWidth="1"/>
    <col min="7177" max="7425" width="9" style="1"/>
    <col min="7426" max="7426" width="16.125" style="1" customWidth="1"/>
    <col min="7427" max="7432" width="11.875" style="1" customWidth="1"/>
    <col min="7433" max="7681" width="9" style="1"/>
    <col min="7682" max="7682" width="16.125" style="1" customWidth="1"/>
    <col min="7683" max="7688" width="11.875" style="1" customWidth="1"/>
    <col min="7689" max="7937" width="9" style="1"/>
    <col min="7938" max="7938" width="16.125" style="1" customWidth="1"/>
    <col min="7939" max="7944" width="11.875" style="1" customWidth="1"/>
    <col min="7945" max="8193" width="9" style="1"/>
    <col min="8194" max="8194" width="16.125" style="1" customWidth="1"/>
    <col min="8195" max="8200" width="11.875" style="1" customWidth="1"/>
    <col min="8201" max="8449" width="9" style="1"/>
    <col min="8450" max="8450" width="16.125" style="1" customWidth="1"/>
    <col min="8451" max="8456" width="11.875" style="1" customWidth="1"/>
    <col min="8457" max="8705" width="9" style="1"/>
    <col min="8706" max="8706" width="16.125" style="1" customWidth="1"/>
    <col min="8707" max="8712" width="11.875" style="1" customWidth="1"/>
    <col min="8713" max="8961" width="9" style="1"/>
    <col min="8962" max="8962" width="16.125" style="1" customWidth="1"/>
    <col min="8963" max="8968" width="11.875" style="1" customWidth="1"/>
    <col min="8969" max="9217" width="9" style="1"/>
    <col min="9218" max="9218" width="16.125" style="1" customWidth="1"/>
    <col min="9219" max="9224" width="11.875" style="1" customWidth="1"/>
    <col min="9225" max="9473" width="9" style="1"/>
    <col min="9474" max="9474" width="16.125" style="1" customWidth="1"/>
    <col min="9475" max="9480" width="11.875" style="1" customWidth="1"/>
    <col min="9481" max="9729" width="9" style="1"/>
    <col min="9730" max="9730" width="16.125" style="1" customWidth="1"/>
    <col min="9731" max="9736" width="11.875" style="1" customWidth="1"/>
    <col min="9737" max="9985" width="9" style="1"/>
    <col min="9986" max="9986" width="16.125" style="1" customWidth="1"/>
    <col min="9987" max="9992" width="11.875" style="1" customWidth="1"/>
    <col min="9993" max="10241" width="9" style="1"/>
    <col min="10242" max="10242" width="16.125" style="1" customWidth="1"/>
    <col min="10243" max="10248" width="11.875" style="1" customWidth="1"/>
    <col min="10249" max="10497" width="9" style="1"/>
    <col min="10498" max="10498" width="16.125" style="1" customWidth="1"/>
    <col min="10499" max="10504" width="11.875" style="1" customWidth="1"/>
    <col min="10505" max="10753" width="9" style="1"/>
    <col min="10754" max="10754" width="16.125" style="1" customWidth="1"/>
    <col min="10755" max="10760" width="11.875" style="1" customWidth="1"/>
    <col min="10761" max="11009" width="9" style="1"/>
    <col min="11010" max="11010" width="16.125" style="1" customWidth="1"/>
    <col min="11011" max="11016" width="11.875" style="1" customWidth="1"/>
    <col min="11017" max="11265" width="9" style="1"/>
    <col min="11266" max="11266" width="16.125" style="1" customWidth="1"/>
    <col min="11267" max="11272" width="11.875" style="1" customWidth="1"/>
    <col min="11273" max="11521" width="9" style="1"/>
    <col min="11522" max="11522" width="16.125" style="1" customWidth="1"/>
    <col min="11523" max="11528" width="11.875" style="1" customWidth="1"/>
    <col min="11529" max="11777" width="9" style="1"/>
    <col min="11778" max="11778" width="16.125" style="1" customWidth="1"/>
    <col min="11779" max="11784" width="11.875" style="1" customWidth="1"/>
    <col min="11785" max="12033" width="9" style="1"/>
    <col min="12034" max="12034" width="16.125" style="1" customWidth="1"/>
    <col min="12035" max="12040" width="11.875" style="1" customWidth="1"/>
    <col min="12041" max="12289" width="9" style="1"/>
    <col min="12290" max="12290" width="16.125" style="1" customWidth="1"/>
    <col min="12291" max="12296" width="11.875" style="1" customWidth="1"/>
    <col min="12297" max="12545" width="9" style="1"/>
    <col min="12546" max="12546" width="16.125" style="1" customWidth="1"/>
    <col min="12547" max="12552" width="11.875" style="1" customWidth="1"/>
    <col min="12553" max="12801" width="9" style="1"/>
    <col min="12802" max="12802" width="16.125" style="1" customWidth="1"/>
    <col min="12803" max="12808" width="11.875" style="1" customWidth="1"/>
    <col min="12809" max="13057" width="9" style="1"/>
    <col min="13058" max="13058" width="16.125" style="1" customWidth="1"/>
    <col min="13059" max="13064" width="11.875" style="1" customWidth="1"/>
    <col min="13065" max="13313" width="9" style="1"/>
    <col min="13314" max="13314" width="16.125" style="1" customWidth="1"/>
    <col min="13315" max="13320" width="11.875" style="1" customWidth="1"/>
    <col min="13321" max="13569" width="9" style="1"/>
    <col min="13570" max="13570" width="16.125" style="1" customWidth="1"/>
    <col min="13571" max="13576" width="11.875" style="1" customWidth="1"/>
    <col min="13577" max="13825" width="9" style="1"/>
    <col min="13826" max="13826" width="16.125" style="1" customWidth="1"/>
    <col min="13827" max="13832" width="11.875" style="1" customWidth="1"/>
    <col min="13833" max="14081" width="9" style="1"/>
    <col min="14082" max="14082" width="16.125" style="1" customWidth="1"/>
    <col min="14083" max="14088" width="11.875" style="1" customWidth="1"/>
    <col min="14089" max="14337" width="9" style="1"/>
    <col min="14338" max="14338" width="16.125" style="1" customWidth="1"/>
    <col min="14339" max="14344" width="11.875" style="1" customWidth="1"/>
    <col min="14345" max="14593" width="9" style="1"/>
    <col min="14594" max="14594" width="16.125" style="1" customWidth="1"/>
    <col min="14595" max="14600" width="11.875" style="1" customWidth="1"/>
    <col min="14601" max="14849" width="9" style="1"/>
    <col min="14850" max="14850" width="16.125" style="1" customWidth="1"/>
    <col min="14851" max="14856" width="11.875" style="1" customWidth="1"/>
    <col min="14857" max="15105" width="9" style="1"/>
    <col min="15106" max="15106" width="16.125" style="1" customWidth="1"/>
    <col min="15107" max="15112" width="11.875" style="1" customWidth="1"/>
    <col min="15113" max="15361" width="9" style="1"/>
    <col min="15362" max="15362" width="16.125" style="1" customWidth="1"/>
    <col min="15363" max="15368" width="11.875" style="1" customWidth="1"/>
    <col min="15369" max="15617" width="9" style="1"/>
    <col min="15618" max="15618" width="16.125" style="1" customWidth="1"/>
    <col min="15619" max="15624" width="11.875" style="1" customWidth="1"/>
    <col min="15625" max="15873" width="9" style="1"/>
    <col min="15874" max="15874" width="16.125" style="1" customWidth="1"/>
    <col min="15875" max="15880" width="11.875" style="1" customWidth="1"/>
    <col min="15881" max="16129" width="9" style="1"/>
    <col min="16130" max="16130" width="16.125" style="1" customWidth="1"/>
    <col min="16131" max="16136" width="11.875" style="1" customWidth="1"/>
    <col min="16137" max="16384" width="9" style="1"/>
  </cols>
  <sheetData>
    <row r="1" spans="1:9" ht="24" customHeight="1" x14ac:dyDescent="0.15">
      <c r="A1" s="1" t="s">
        <v>183</v>
      </c>
    </row>
    <row r="2" spans="1:9" ht="14.25" thickBot="1" x14ac:dyDescent="0.2"/>
    <row r="3" spans="1:9" ht="18" customHeight="1" x14ac:dyDescent="0.15">
      <c r="A3" s="175"/>
      <c r="B3" s="176" t="s">
        <v>82</v>
      </c>
      <c r="C3" s="176" t="s">
        <v>7</v>
      </c>
      <c r="D3" s="176" t="s">
        <v>8</v>
      </c>
      <c r="E3" s="259" t="s">
        <v>9</v>
      </c>
      <c r="F3" s="265" t="s">
        <v>179</v>
      </c>
      <c r="G3" s="262" t="s">
        <v>10</v>
      </c>
      <c r="H3" s="259" t="s">
        <v>11</v>
      </c>
      <c r="I3" s="268" t="s">
        <v>180</v>
      </c>
    </row>
    <row r="4" spans="1:9" s="179" customFormat="1" ht="18" customHeight="1" x14ac:dyDescent="0.15">
      <c r="A4" s="177"/>
      <c r="B4" s="178">
        <v>0.68</v>
      </c>
      <c r="C4" s="178">
        <v>0.18</v>
      </c>
      <c r="D4" s="178">
        <v>0.28000000000000003</v>
      </c>
      <c r="E4" s="260">
        <v>0.05</v>
      </c>
      <c r="F4" s="266"/>
      <c r="G4" s="263">
        <v>0.09</v>
      </c>
      <c r="H4" s="260">
        <v>0.08</v>
      </c>
      <c r="I4" s="269"/>
    </row>
    <row r="5" spans="1:9" ht="21.75" customHeight="1" x14ac:dyDescent="0.15">
      <c r="A5" s="175" t="s">
        <v>47</v>
      </c>
      <c r="B5" s="274">
        <v>10880000</v>
      </c>
      <c r="C5" s="203">
        <v>2880000</v>
      </c>
      <c r="D5" s="203">
        <v>4480000</v>
      </c>
      <c r="E5" s="273">
        <v>800000</v>
      </c>
      <c r="F5" s="267">
        <f>C5+D5+E5</f>
        <v>8160000</v>
      </c>
      <c r="G5" s="202">
        <v>1440000</v>
      </c>
      <c r="H5" s="273">
        <v>1280000</v>
      </c>
      <c r="I5" s="270">
        <f>F5+G5+H5</f>
        <v>10880000</v>
      </c>
    </row>
    <row r="6" spans="1:9" ht="21.75" customHeight="1" x14ac:dyDescent="0.15">
      <c r="A6" s="175" t="s">
        <v>164</v>
      </c>
      <c r="B6" s="274">
        <v>0</v>
      </c>
      <c r="C6" s="203"/>
      <c r="D6" s="203"/>
      <c r="E6" s="273"/>
      <c r="F6" s="267">
        <f t="shared" ref="F6:F28" si="0">C6+D6+E6</f>
        <v>0</v>
      </c>
      <c r="G6" s="202"/>
      <c r="H6" s="273"/>
      <c r="I6" s="270">
        <f t="shared" ref="I6:I28" si="1">F6+G6+H6</f>
        <v>0</v>
      </c>
    </row>
    <row r="7" spans="1:9" ht="21.75" customHeight="1" x14ac:dyDescent="0.15">
      <c r="A7" s="175" t="s">
        <v>48</v>
      </c>
      <c r="B7" s="274">
        <v>162010</v>
      </c>
      <c r="C7" s="203">
        <f>238250*0.18</f>
        <v>42885</v>
      </c>
      <c r="D7" s="203">
        <f>238250*0.28</f>
        <v>66710</v>
      </c>
      <c r="E7" s="273">
        <f>238250*0.05</f>
        <v>11912.5</v>
      </c>
      <c r="F7" s="267">
        <f t="shared" si="0"/>
        <v>121507.5</v>
      </c>
      <c r="G7" s="202">
        <f>238250*0.09</f>
        <v>21442.5</v>
      </c>
      <c r="H7" s="202">
        <f>238250*0.08</f>
        <v>19060</v>
      </c>
      <c r="I7" s="270">
        <f t="shared" si="1"/>
        <v>162010</v>
      </c>
    </row>
    <row r="8" spans="1:9" ht="21.75" customHeight="1" x14ac:dyDescent="0.15">
      <c r="A8" s="175" t="s">
        <v>49</v>
      </c>
      <c r="B8" s="274">
        <v>1496000</v>
      </c>
      <c r="C8" s="203">
        <f>2200000*0.18</f>
        <v>396000</v>
      </c>
      <c r="D8" s="203">
        <f>2200000*0.28</f>
        <v>616000.00000000012</v>
      </c>
      <c r="E8" s="273">
        <f>2200000*0.05</f>
        <v>110000</v>
      </c>
      <c r="F8" s="267">
        <f t="shared" si="0"/>
        <v>1122000</v>
      </c>
      <c r="G8" s="273">
        <f>2200000*0.09</f>
        <v>198000</v>
      </c>
      <c r="H8" s="273">
        <f>2200000*0.08</f>
        <v>176000</v>
      </c>
      <c r="I8" s="270">
        <f t="shared" si="1"/>
        <v>1496000</v>
      </c>
    </row>
    <row r="9" spans="1:9" ht="21.75" customHeight="1" x14ac:dyDescent="0.15">
      <c r="A9" s="175" t="s">
        <v>50</v>
      </c>
      <c r="B9" s="274">
        <v>340680</v>
      </c>
      <c r="C9" s="203">
        <f>501000*0.18</f>
        <v>90180</v>
      </c>
      <c r="D9" s="203">
        <f>501000*0.28</f>
        <v>140280</v>
      </c>
      <c r="E9" s="273">
        <f>501000*0.05</f>
        <v>25050</v>
      </c>
      <c r="F9" s="267">
        <f t="shared" si="0"/>
        <v>255510</v>
      </c>
      <c r="G9" s="202">
        <f>501000*0.09</f>
        <v>45090</v>
      </c>
      <c r="H9" s="273">
        <f>501000*0.08</f>
        <v>40080</v>
      </c>
      <c r="I9" s="270">
        <f t="shared" si="1"/>
        <v>340680</v>
      </c>
    </row>
    <row r="10" spans="1:9" ht="21.75" customHeight="1" x14ac:dyDescent="0.15">
      <c r="A10" s="175" t="s">
        <v>51</v>
      </c>
      <c r="B10" s="274">
        <v>1012634</v>
      </c>
      <c r="C10" s="203">
        <f>1489167*0.18</f>
        <v>268050.06</v>
      </c>
      <c r="D10" s="203">
        <f>1489167*0.28</f>
        <v>416966.76000000007</v>
      </c>
      <c r="E10" s="273">
        <f>1489167*0.05</f>
        <v>74458.350000000006</v>
      </c>
      <c r="F10" s="267">
        <f t="shared" ref="F10" si="2">C10+D10+E10</f>
        <v>759475.17</v>
      </c>
      <c r="G10" s="202">
        <f>1489167*0.09</f>
        <v>134025.03</v>
      </c>
      <c r="H10" s="273">
        <f>1489167*0.08</f>
        <v>119133.36</v>
      </c>
      <c r="I10" s="270">
        <f t="shared" ref="I10" si="3">F10+G10+H10</f>
        <v>1012633.56</v>
      </c>
    </row>
    <row r="11" spans="1:9" ht="21.75" customHeight="1" x14ac:dyDescent="0.15">
      <c r="A11" s="175" t="s">
        <v>52</v>
      </c>
      <c r="B11" s="274">
        <v>44880</v>
      </c>
      <c r="C11" s="203">
        <f>66000*0.18</f>
        <v>11880</v>
      </c>
      <c r="D11" s="203">
        <f>66000*0.28</f>
        <v>18480</v>
      </c>
      <c r="E11" s="273">
        <f>66000*0.05</f>
        <v>3300</v>
      </c>
      <c r="F11" s="267">
        <f t="shared" si="0"/>
        <v>33660</v>
      </c>
      <c r="G11" s="202">
        <f>66000*0.09</f>
        <v>5940</v>
      </c>
      <c r="H11" s="273">
        <f>66000*0.08</f>
        <v>5280</v>
      </c>
      <c r="I11" s="270">
        <f t="shared" si="1"/>
        <v>44880</v>
      </c>
    </row>
    <row r="12" spans="1:9" ht="21.75" customHeight="1" x14ac:dyDescent="0.15">
      <c r="A12" s="175" t="s">
        <v>53</v>
      </c>
      <c r="B12" s="274">
        <v>68000</v>
      </c>
      <c r="C12" s="203">
        <f>100000*0.18</f>
        <v>18000</v>
      </c>
      <c r="D12" s="203">
        <f>100000*0.28</f>
        <v>28000.000000000004</v>
      </c>
      <c r="E12" s="273">
        <f>100000*0.05</f>
        <v>5000</v>
      </c>
      <c r="F12" s="267">
        <f t="shared" ref="F12" si="4">C12+D12+E12</f>
        <v>51000</v>
      </c>
      <c r="G12" s="202">
        <f>100000*0.09</f>
        <v>9000</v>
      </c>
      <c r="H12" s="273">
        <f>100000*0.08</f>
        <v>8000</v>
      </c>
      <c r="I12" s="270">
        <f t="shared" ref="I12" si="5">F12+G12+H12</f>
        <v>68000</v>
      </c>
    </row>
    <row r="13" spans="1:9" ht="21.75" customHeight="1" x14ac:dyDescent="0.15">
      <c r="A13" s="175" t="s">
        <v>54</v>
      </c>
      <c r="B13" s="274">
        <v>499800</v>
      </c>
      <c r="C13" s="203">
        <f>735000*0.18</f>
        <v>132300</v>
      </c>
      <c r="D13" s="203">
        <f>735000*0.28</f>
        <v>205800.00000000003</v>
      </c>
      <c r="E13" s="273">
        <f>735000*0.05</f>
        <v>36750</v>
      </c>
      <c r="F13" s="267">
        <f t="shared" ref="F13" si="6">C13+D13+E13</f>
        <v>374850</v>
      </c>
      <c r="G13" s="202">
        <f>735000*0.09</f>
        <v>66150</v>
      </c>
      <c r="H13" s="273">
        <f>735000*0.08</f>
        <v>58800</v>
      </c>
      <c r="I13" s="270">
        <f t="shared" ref="I13" si="7">F13+G13+H13</f>
        <v>499800</v>
      </c>
    </row>
    <row r="14" spans="1:9" ht="21.75" customHeight="1" x14ac:dyDescent="0.15">
      <c r="A14" s="175" t="s">
        <v>55</v>
      </c>
      <c r="B14" s="274">
        <v>68000</v>
      </c>
      <c r="C14" s="203">
        <v>18000</v>
      </c>
      <c r="D14" s="203">
        <v>28000</v>
      </c>
      <c r="E14" s="273">
        <v>5000</v>
      </c>
      <c r="F14" s="267">
        <f t="shared" si="0"/>
        <v>51000</v>
      </c>
      <c r="G14" s="202">
        <v>9000</v>
      </c>
      <c r="H14" s="273">
        <v>8000</v>
      </c>
      <c r="I14" s="270">
        <f t="shared" si="1"/>
        <v>68000</v>
      </c>
    </row>
    <row r="15" spans="1:9" ht="21.75" customHeight="1" x14ac:dyDescent="0.15">
      <c r="A15" s="175" t="s">
        <v>56</v>
      </c>
      <c r="B15" s="274">
        <v>452880</v>
      </c>
      <c r="C15" s="203">
        <v>119880</v>
      </c>
      <c r="D15" s="203">
        <v>186480</v>
      </c>
      <c r="E15" s="273">
        <v>33300</v>
      </c>
      <c r="F15" s="267">
        <f t="shared" si="0"/>
        <v>339660</v>
      </c>
      <c r="G15" s="202">
        <v>59940</v>
      </c>
      <c r="H15" s="273">
        <v>53280</v>
      </c>
      <c r="I15" s="270">
        <f t="shared" si="1"/>
        <v>452880</v>
      </c>
    </row>
    <row r="16" spans="1:9" ht="21.75" customHeight="1" x14ac:dyDescent="0.15">
      <c r="A16" s="175" t="s">
        <v>57</v>
      </c>
      <c r="B16" s="274">
        <v>0</v>
      </c>
      <c r="C16" s="203"/>
      <c r="D16" s="203"/>
      <c r="E16" s="273"/>
      <c r="F16" s="267">
        <f t="shared" si="0"/>
        <v>0</v>
      </c>
      <c r="G16" s="202"/>
      <c r="H16" s="273"/>
      <c r="I16" s="270">
        <f t="shared" si="1"/>
        <v>0</v>
      </c>
    </row>
    <row r="17" spans="1:9" ht="21.75" customHeight="1" x14ac:dyDescent="0.15">
      <c r="A17" s="175" t="s">
        <v>58</v>
      </c>
      <c r="B17" s="274">
        <v>272000</v>
      </c>
      <c r="C17" s="203">
        <v>72000</v>
      </c>
      <c r="D17" s="203">
        <v>112000</v>
      </c>
      <c r="E17" s="273">
        <v>20000</v>
      </c>
      <c r="F17" s="267">
        <f t="shared" si="0"/>
        <v>204000</v>
      </c>
      <c r="G17" s="202">
        <v>36000</v>
      </c>
      <c r="H17" s="273">
        <v>32000</v>
      </c>
      <c r="I17" s="270">
        <f t="shared" si="1"/>
        <v>272000</v>
      </c>
    </row>
    <row r="18" spans="1:9" ht="21.75" customHeight="1" x14ac:dyDescent="0.15">
      <c r="A18" s="175" t="s">
        <v>59</v>
      </c>
      <c r="B18" s="274">
        <v>3740000</v>
      </c>
      <c r="C18" s="203">
        <v>990000</v>
      </c>
      <c r="D18" s="203">
        <v>1540000</v>
      </c>
      <c r="E18" s="273">
        <v>275000</v>
      </c>
      <c r="F18" s="267">
        <f t="shared" si="0"/>
        <v>2805000</v>
      </c>
      <c r="G18" s="202">
        <v>495000</v>
      </c>
      <c r="H18" s="273">
        <v>440000</v>
      </c>
      <c r="I18" s="270">
        <f t="shared" si="1"/>
        <v>3740000</v>
      </c>
    </row>
    <row r="19" spans="1:9" ht="21.75" customHeight="1" x14ac:dyDescent="0.15">
      <c r="A19" s="175" t="s">
        <v>60</v>
      </c>
      <c r="B19" s="274">
        <v>136000</v>
      </c>
      <c r="C19" s="203">
        <v>36000</v>
      </c>
      <c r="D19" s="203">
        <v>56000</v>
      </c>
      <c r="E19" s="273">
        <v>10000</v>
      </c>
      <c r="F19" s="267">
        <f t="shared" si="0"/>
        <v>102000</v>
      </c>
      <c r="G19" s="202">
        <v>18000</v>
      </c>
      <c r="H19" s="273">
        <v>16000</v>
      </c>
      <c r="I19" s="270">
        <f t="shared" si="1"/>
        <v>136000</v>
      </c>
    </row>
    <row r="20" spans="1:9" ht="21.75" customHeight="1" x14ac:dyDescent="0.15">
      <c r="A20" s="175" t="s">
        <v>61</v>
      </c>
      <c r="B20" s="274">
        <v>6800</v>
      </c>
      <c r="C20" s="203">
        <f>10000*0.18</f>
        <v>1800</v>
      </c>
      <c r="D20" s="203">
        <f>10000*0.28</f>
        <v>2800.0000000000005</v>
      </c>
      <c r="E20" s="273">
        <f>10000*0.05</f>
        <v>500</v>
      </c>
      <c r="F20" s="267">
        <f t="shared" si="0"/>
        <v>5100</v>
      </c>
      <c r="G20" s="202">
        <f>10000*0.09</f>
        <v>900</v>
      </c>
      <c r="H20" s="273">
        <f>10000*0.08</f>
        <v>800</v>
      </c>
      <c r="I20" s="270">
        <f t="shared" si="1"/>
        <v>6800</v>
      </c>
    </row>
    <row r="21" spans="1:9" ht="21.75" customHeight="1" x14ac:dyDescent="0.15">
      <c r="A21" s="175" t="s">
        <v>62</v>
      </c>
      <c r="B21" s="274">
        <v>700400</v>
      </c>
      <c r="C21" s="203">
        <v>185400</v>
      </c>
      <c r="D21" s="203">
        <v>288400</v>
      </c>
      <c r="E21" s="273">
        <v>51500</v>
      </c>
      <c r="F21" s="267">
        <f t="shared" si="0"/>
        <v>525300</v>
      </c>
      <c r="G21" s="202">
        <v>92700</v>
      </c>
      <c r="H21" s="273">
        <v>82400</v>
      </c>
      <c r="I21" s="270">
        <f t="shared" si="1"/>
        <v>700400</v>
      </c>
    </row>
    <row r="22" spans="1:9" ht="21.75" customHeight="1" x14ac:dyDescent="0.15">
      <c r="A22" s="175" t="s">
        <v>63</v>
      </c>
      <c r="B22" s="274">
        <v>680000</v>
      </c>
      <c r="C22" s="203">
        <f>1000000*0.18</f>
        <v>180000</v>
      </c>
      <c r="D22" s="203">
        <f>1000000*0.28</f>
        <v>280000</v>
      </c>
      <c r="E22" s="273">
        <f>1000000*0.05</f>
        <v>50000</v>
      </c>
      <c r="F22" s="267">
        <f t="shared" ref="F22" si="8">C22+D22+E22</f>
        <v>510000</v>
      </c>
      <c r="G22" s="202">
        <f>1000000*0.09</f>
        <v>90000</v>
      </c>
      <c r="H22" s="273">
        <f>1000000*0.08</f>
        <v>80000</v>
      </c>
      <c r="I22" s="270">
        <f t="shared" ref="I22" si="9">F22+G22+H22</f>
        <v>680000</v>
      </c>
    </row>
    <row r="23" spans="1:9" ht="21.75" customHeight="1" x14ac:dyDescent="0.15">
      <c r="A23" s="175" t="s">
        <v>64</v>
      </c>
      <c r="B23" s="274">
        <v>34000</v>
      </c>
      <c r="C23" s="203">
        <v>9000</v>
      </c>
      <c r="D23" s="203">
        <v>14000</v>
      </c>
      <c r="E23" s="273">
        <v>2500</v>
      </c>
      <c r="F23" s="267">
        <f t="shared" si="0"/>
        <v>25500</v>
      </c>
      <c r="G23" s="202">
        <v>4500</v>
      </c>
      <c r="H23" s="273">
        <v>4000</v>
      </c>
      <c r="I23" s="270">
        <f t="shared" si="1"/>
        <v>34000</v>
      </c>
    </row>
    <row r="24" spans="1:9" ht="21.75" customHeight="1" x14ac:dyDescent="0.15">
      <c r="A24" s="175" t="s">
        <v>65</v>
      </c>
      <c r="B24" s="274">
        <v>204000</v>
      </c>
      <c r="C24" s="203">
        <f>300000*0.18</f>
        <v>54000</v>
      </c>
      <c r="D24" s="203">
        <f>300000*0.28</f>
        <v>84000.000000000015</v>
      </c>
      <c r="E24" s="273">
        <f>300000*0.05</f>
        <v>15000</v>
      </c>
      <c r="F24" s="267">
        <f t="shared" si="0"/>
        <v>153000</v>
      </c>
      <c r="G24" s="202">
        <f>300000*0.09</f>
        <v>27000</v>
      </c>
      <c r="H24" s="273">
        <f>300000*0.08</f>
        <v>24000</v>
      </c>
      <c r="I24" s="270">
        <f t="shared" si="1"/>
        <v>204000</v>
      </c>
    </row>
    <row r="25" spans="1:9" ht="21.75" customHeight="1" x14ac:dyDescent="0.15">
      <c r="A25" s="175" t="s">
        <v>66</v>
      </c>
      <c r="B25" s="274">
        <v>353600</v>
      </c>
      <c r="C25" s="203">
        <v>93600</v>
      </c>
      <c r="D25" s="203">
        <v>145600</v>
      </c>
      <c r="E25" s="273">
        <v>26000</v>
      </c>
      <c r="F25" s="267">
        <f t="shared" si="0"/>
        <v>265200</v>
      </c>
      <c r="G25" s="202">
        <v>46800</v>
      </c>
      <c r="H25" s="273">
        <v>41600</v>
      </c>
      <c r="I25" s="270">
        <f t="shared" si="1"/>
        <v>353600</v>
      </c>
    </row>
    <row r="26" spans="1:9" ht="21.75" customHeight="1" x14ac:dyDescent="0.15">
      <c r="A26" s="175" t="s">
        <v>100</v>
      </c>
      <c r="B26" s="274">
        <v>204000</v>
      </c>
      <c r="C26" s="291">
        <v>54000</v>
      </c>
      <c r="D26" s="291">
        <v>84000</v>
      </c>
      <c r="E26" s="292">
        <v>15000</v>
      </c>
      <c r="F26" s="267">
        <f t="shared" si="0"/>
        <v>153000</v>
      </c>
      <c r="G26" s="293">
        <v>27000</v>
      </c>
      <c r="H26" s="292">
        <v>24000</v>
      </c>
      <c r="I26" s="270">
        <f t="shared" si="1"/>
        <v>204000</v>
      </c>
    </row>
    <row r="27" spans="1:9" ht="21.75" customHeight="1" thickBot="1" x14ac:dyDescent="0.2">
      <c r="A27" s="324" t="s">
        <v>67</v>
      </c>
      <c r="B27" s="325">
        <v>246840</v>
      </c>
      <c r="C27" s="203">
        <f>363000*0.18</f>
        <v>65340</v>
      </c>
      <c r="D27" s="203">
        <f>363000*0.28</f>
        <v>101640.00000000001</v>
      </c>
      <c r="E27" s="273">
        <f>363000*0.05</f>
        <v>18150</v>
      </c>
      <c r="F27" s="267">
        <f t="shared" ref="F27" si="10">C27+D27+E27</f>
        <v>185130</v>
      </c>
      <c r="G27" s="202">
        <f>363000*0.09</f>
        <v>32670</v>
      </c>
      <c r="H27" s="273">
        <f>363000*0.08</f>
        <v>29040</v>
      </c>
      <c r="I27" s="270">
        <f t="shared" ref="I27" si="11">F27+G27+H27</f>
        <v>246840</v>
      </c>
    </row>
    <row r="28" spans="1:9" ht="21.75" customHeight="1" thickTop="1" thickBot="1" x14ac:dyDescent="0.2">
      <c r="A28" s="181" t="s">
        <v>83</v>
      </c>
      <c r="B28" s="182">
        <f>SUM(B5:B27)</f>
        <v>21602524</v>
      </c>
      <c r="C28" s="182">
        <f>SUM(C5:C27)</f>
        <v>5718315.0600000005</v>
      </c>
      <c r="D28" s="182">
        <f>SUM(D5:D27)</f>
        <v>8895156.7599999998</v>
      </c>
      <c r="E28" s="261">
        <f>SUM(E5:E27)</f>
        <v>1588420.85</v>
      </c>
      <c r="F28" s="326">
        <f t="shared" si="0"/>
        <v>16201892.67</v>
      </c>
      <c r="G28" s="264">
        <f>SUM(G5:G27)</f>
        <v>2859157.5300000003</v>
      </c>
      <c r="H28" s="261">
        <f>SUM(H5:H27)</f>
        <v>2541473.3600000003</v>
      </c>
      <c r="I28" s="327">
        <f t="shared" si="1"/>
        <v>21602523.559999999</v>
      </c>
    </row>
    <row r="29" spans="1:9" ht="21.75" customHeight="1" x14ac:dyDescent="0.15">
      <c r="A29" s="1" t="s">
        <v>108</v>
      </c>
    </row>
    <row r="30" spans="1:9" x14ac:dyDescent="0.15">
      <c r="B30" s="217"/>
      <c r="C30" s="217"/>
      <c r="D30" s="217"/>
      <c r="E30" s="217"/>
      <c r="F30" s="217"/>
      <c r="G30" s="217"/>
      <c r="H30" s="217"/>
    </row>
  </sheetData>
  <phoneticPr fontId="2"/>
  <printOptions horizontalCentered="1"/>
  <pageMargins left="0.55118110236220474" right="0.39370078740157483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3"/>
  <sheetViews>
    <sheetView zoomScaleNormal="100" workbookViewId="0">
      <selection activeCell="L2" sqref="L2"/>
    </sheetView>
  </sheetViews>
  <sheetFormatPr defaultRowHeight="13.5" x14ac:dyDescent="0.15"/>
  <cols>
    <col min="2" max="2" width="11.375" style="191" bestFit="1" customWidth="1"/>
    <col min="3" max="9" width="10.625" style="191" customWidth="1"/>
    <col min="10" max="10" width="10.25" bestFit="1" customWidth="1"/>
  </cols>
  <sheetData>
    <row r="1" spans="1:19" ht="24.95" customHeight="1" x14ac:dyDescent="0.15">
      <c r="A1" s="343" t="s">
        <v>228</v>
      </c>
      <c r="B1" s="343"/>
      <c r="C1" s="343"/>
      <c r="D1" s="343"/>
      <c r="E1" s="343"/>
      <c r="F1" s="343"/>
      <c r="G1" s="343"/>
      <c r="H1" s="343"/>
      <c r="I1" s="343"/>
    </row>
    <row r="2" spans="1:19" ht="24.95" customHeight="1" x14ac:dyDescent="0.15">
      <c r="B2" s="331">
        <f>SUM(C2:F2)</f>
        <v>0</v>
      </c>
      <c r="C2" s="192" t="s">
        <v>175</v>
      </c>
      <c r="D2" s="192" t="s">
        <v>176</v>
      </c>
      <c r="E2" s="192" t="s">
        <v>87</v>
      </c>
      <c r="F2" s="192" t="s">
        <v>177</v>
      </c>
      <c r="G2" s="192" t="s">
        <v>178</v>
      </c>
      <c r="H2" s="192" t="s">
        <v>165</v>
      </c>
      <c r="I2" s="192" t="s">
        <v>166</v>
      </c>
    </row>
    <row r="3" spans="1:19" ht="24.95" customHeight="1" x14ac:dyDescent="0.15">
      <c r="A3" s="344"/>
      <c r="B3" s="345"/>
      <c r="C3" s="193" t="s">
        <v>88</v>
      </c>
      <c r="D3" s="194" t="s">
        <v>89</v>
      </c>
      <c r="E3" s="194" t="s">
        <v>90</v>
      </c>
      <c r="F3" s="194" t="s">
        <v>91</v>
      </c>
      <c r="G3" s="194" t="s">
        <v>92</v>
      </c>
      <c r="H3" s="194" t="s">
        <v>93</v>
      </c>
      <c r="I3" s="195" t="s">
        <v>94</v>
      </c>
      <c r="M3">
        <v>12.65</v>
      </c>
      <c r="N3">
        <v>24.65</v>
      </c>
      <c r="O3">
        <v>3</v>
      </c>
      <c r="P3">
        <v>7.65</v>
      </c>
      <c r="Q3">
        <v>2.0499999999999998</v>
      </c>
      <c r="R3">
        <f>SUM(M3:Q3)</f>
        <v>49.999999999999993</v>
      </c>
      <c r="S3">
        <f>50*0.4</f>
        <v>20</v>
      </c>
    </row>
    <row r="4" spans="1:19" ht="24.95" customHeight="1" x14ac:dyDescent="0.15">
      <c r="A4" s="214" t="s">
        <v>95</v>
      </c>
      <c r="B4" s="196">
        <v>38000000</v>
      </c>
      <c r="C4" s="197">
        <f>B4*C2</f>
        <v>4807000</v>
      </c>
      <c r="D4" s="198">
        <f>B4*D2</f>
        <v>9367000</v>
      </c>
      <c r="E4" s="198">
        <f>B4*E2</f>
        <v>1140000</v>
      </c>
      <c r="F4" s="198">
        <f>B4*F2</f>
        <v>2907000</v>
      </c>
      <c r="G4" s="198">
        <f>B4*G2</f>
        <v>779000</v>
      </c>
      <c r="H4" s="198">
        <f>B4*H2</f>
        <v>11400000</v>
      </c>
      <c r="I4" s="199">
        <f>B4*I2</f>
        <v>7600000</v>
      </c>
      <c r="J4" s="200">
        <f>SUM(C4:G4)</f>
        <v>19000000</v>
      </c>
      <c r="M4">
        <f>+M3*0.4</f>
        <v>5.0600000000000005</v>
      </c>
      <c r="N4">
        <f t="shared" ref="N4:Q4" si="0">+N3*0.4</f>
        <v>9.86</v>
      </c>
      <c r="O4">
        <f t="shared" si="0"/>
        <v>1.2000000000000002</v>
      </c>
      <c r="P4">
        <f t="shared" si="0"/>
        <v>3.0600000000000005</v>
      </c>
      <c r="Q4">
        <f t="shared" si="0"/>
        <v>0.82</v>
      </c>
      <c r="R4">
        <f>SUM(M4:Q4)</f>
        <v>20</v>
      </c>
    </row>
    <row r="5" spans="1:19" ht="24.95" customHeight="1" x14ac:dyDescent="0.15">
      <c r="A5" s="213" t="s">
        <v>97</v>
      </c>
      <c r="B5" s="201">
        <v>0</v>
      </c>
      <c r="C5" s="202">
        <f>ROUNDUP(B5*0.119,0)</f>
        <v>0</v>
      </c>
      <c r="D5" s="203">
        <f>ROUNDUP(B5*0.199,0)</f>
        <v>0</v>
      </c>
      <c r="E5" s="203">
        <f t="shared" ref="E5:E6" si="1">ROUNDUP(B5*0.03,0)</f>
        <v>0</v>
      </c>
      <c r="F5" s="203">
        <f>ROUNDUP(B5*0.064,0)</f>
        <v>0</v>
      </c>
      <c r="G5" s="203">
        <f>ROUNDUP(B5*0.088,0)</f>
        <v>0</v>
      </c>
      <c r="H5" s="203">
        <f>ROUNDUP(B5*0.3,0)</f>
        <v>0</v>
      </c>
      <c r="I5" s="204">
        <f>ROUNDUP(B5*0.2,0)</f>
        <v>0</v>
      </c>
      <c r="J5" s="200">
        <f>SUM(C5:G5)</f>
        <v>0</v>
      </c>
    </row>
    <row r="6" spans="1:19" ht="24.95" customHeight="1" x14ac:dyDescent="0.15">
      <c r="A6" s="216" t="s">
        <v>98</v>
      </c>
      <c r="B6" s="205">
        <v>0</v>
      </c>
      <c r="C6" s="206">
        <f>ROUNDUP(B6*0.119,0)</f>
        <v>0</v>
      </c>
      <c r="D6" s="207">
        <f>ROUNDUP(B6*0.199,0)</f>
        <v>0</v>
      </c>
      <c r="E6" s="207">
        <f t="shared" si="1"/>
        <v>0</v>
      </c>
      <c r="F6" s="207">
        <f>ROUNDUP(B6*0.064,0)</f>
        <v>0</v>
      </c>
      <c r="G6" s="207">
        <f>ROUNDUP(B6*0.088,0)</f>
        <v>0</v>
      </c>
      <c r="H6" s="207">
        <f>ROUNDUP(B6*0.3,0)</f>
        <v>0</v>
      </c>
      <c r="I6" s="208">
        <f>ROUNDUP(B6*0.2,0)</f>
        <v>0</v>
      </c>
      <c r="J6" s="200">
        <f>SUM(C6:G6)</f>
        <v>0</v>
      </c>
    </row>
    <row r="7" spans="1:19" ht="24.95" customHeight="1" x14ac:dyDescent="0.15"/>
    <row r="8" spans="1:19" ht="24.95" customHeight="1" x14ac:dyDescent="0.15">
      <c r="C8" s="192" t="s">
        <v>168</v>
      </c>
      <c r="D8" s="192" t="s">
        <v>169</v>
      </c>
      <c r="E8" s="192" t="s">
        <v>223</v>
      </c>
      <c r="F8" s="192" t="s">
        <v>185</v>
      </c>
      <c r="G8" s="192" t="s">
        <v>184</v>
      </c>
    </row>
    <row r="9" spans="1:19" ht="24.95" customHeight="1" x14ac:dyDescent="0.15">
      <c r="A9" s="344"/>
      <c r="B9" s="345"/>
      <c r="C9" s="193" t="s">
        <v>88</v>
      </c>
      <c r="D9" s="194" t="s">
        <v>89</v>
      </c>
      <c r="E9" s="194" t="s">
        <v>90</v>
      </c>
      <c r="F9" s="194" t="s">
        <v>91</v>
      </c>
      <c r="G9" s="195" t="s">
        <v>92</v>
      </c>
    </row>
    <row r="10" spans="1:19" ht="24.95" customHeight="1" x14ac:dyDescent="0.15">
      <c r="A10" s="215" t="s">
        <v>96</v>
      </c>
      <c r="B10" s="209">
        <v>16640900</v>
      </c>
      <c r="C10" s="210">
        <f>B10*0.238</f>
        <v>3960534.1999999997</v>
      </c>
      <c r="D10" s="211">
        <f>B10*0.398</f>
        <v>6623078.2000000002</v>
      </c>
      <c r="E10" s="211">
        <f>B10*0.068</f>
        <v>1131581.2000000002</v>
      </c>
      <c r="F10" s="211">
        <f>B10*0.129</f>
        <v>2146676.1</v>
      </c>
      <c r="G10" s="212">
        <f>B10*0.167</f>
        <v>2779030.3000000003</v>
      </c>
      <c r="J10" s="200">
        <f>SUM(C10:G10)</f>
        <v>16640900.000000002</v>
      </c>
    </row>
    <row r="11" spans="1:19" ht="24.75" customHeight="1" x14ac:dyDescent="0.15">
      <c r="A11" s="215" t="s">
        <v>167</v>
      </c>
      <c r="B11" s="209">
        <v>1000</v>
      </c>
      <c r="C11" s="210">
        <v>238</v>
      </c>
      <c r="D11" s="211">
        <v>398</v>
      </c>
      <c r="E11" s="211">
        <v>60</v>
      </c>
      <c r="F11" s="211">
        <v>128</v>
      </c>
      <c r="G11" s="212">
        <v>176</v>
      </c>
    </row>
    <row r="13" spans="1:19" x14ac:dyDescent="0.15">
      <c r="B13" s="191">
        <v>15954600</v>
      </c>
    </row>
  </sheetData>
  <mergeCells count="3">
    <mergeCell ref="A1:I1"/>
    <mergeCell ref="A3:B3"/>
    <mergeCell ref="A9:B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151"/>
  <sheetViews>
    <sheetView zoomScaleNormal="100" workbookViewId="0">
      <pane xSplit="10" ySplit="6" topLeftCell="K78" activePane="bottomRight" state="frozen"/>
      <selection activeCell="K90" activeCellId="1" sqref="K56 K90"/>
      <selection pane="topRight" activeCell="K90" activeCellId="1" sqref="K56 K90"/>
      <selection pane="bottomLeft" activeCell="K90" activeCellId="1" sqref="K56 K90"/>
      <selection pane="bottomRight" activeCell="V15" sqref="V15"/>
    </sheetView>
  </sheetViews>
  <sheetFormatPr defaultRowHeight="13.5" x14ac:dyDescent="0.15"/>
  <cols>
    <col min="1" max="1" width="1.5" style="1" customWidth="1"/>
    <col min="2" max="2" width="2.125" style="1" customWidth="1"/>
    <col min="3" max="3" width="2.5" style="1" customWidth="1"/>
    <col min="4" max="4" width="1.625" style="1" customWidth="1"/>
    <col min="5" max="5" width="6.625" style="2" customWidth="1"/>
    <col min="6" max="6" width="6.5" style="2" customWidth="1"/>
    <col min="7" max="7" width="1.75" style="2" customWidth="1"/>
    <col min="8" max="8" width="10.25" style="2" customWidth="1"/>
    <col min="9" max="10" width="1.5" style="2" customWidth="1"/>
    <col min="11" max="11" width="10.75" style="2" customWidth="1"/>
    <col min="12" max="12" width="1.5" style="2" customWidth="1"/>
    <col min="13" max="14" width="9.875" style="3" customWidth="1"/>
    <col min="15" max="17" width="9.625" style="3" customWidth="1"/>
    <col min="18" max="18" width="10" style="4" customWidth="1"/>
    <col min="19" max="21" width="10.25" style="4" customWidth="1"/>
    <col min="22" max="22" width="13.25" style="1" customWidth="1"/>
    <col min="23" max="23" width="9" style="1"/>
    <col min="24" max="24" width="15.625" style="1" customWidth="1"/>
    <col min="25" max="256" width="9" style="1"/>
    <col min="257" max="257" width="1.5" style="1" customWidth="1"/>
    <col min="258" max="258" width="2.125" style="1" customWidth="1"/>
    <col min="259" max="259" width="2.5" style="1" customWidth="1"/>
    <col min="260" max="260" width="1.625" style="1" customWidth="1"/>
    <col min="261" max="261" width="6.625" style="1" customWidth="1"/>
    <col min="262" max="262" width="6.5" style="1" customWidth="1"/>
    <col min="263" max="263" width="1.75" style="1" customWidth="1"/>
    <col min="264" max="264" width="10.25" style="1" customWidth="1"/>
    <col min="265" max="266" width="1.5" style="1" customWidth="1"/>
    <col min="267" max="267" width="10.75" style="1" customWidth="1"/>
    <col min="268" max="268" width="1.5" style="1" customWidth="1"/>
    <col min="269" max="270" width="9.875" style="1" customWidth="1"/>
    <col min="271" max="273" width="9.625" style="1" customWidth="1"/>
    <col min="274" max="274" width="10" style="1" customWidth="1"/>
    <col min="275" max="277" width="10.25" style="1" customWidth="1"/>
    <col min="278" max="512" width="9" style="1"/>
    <col min="513" max="513" width="1.5" style="1" customWidth="1"/>
    <col min="514" max="514" width="2.125" style="1" customWidth="1"/>
    <col min="515" max="515" width="2.5" style="1" customWidth="1"/>
    <col min="516" max="516" width="1.625" style="1" customWidth="1"/>
    <col min="517" max="517" width="6.625" style="1" customWidth="1"/>
    <col min="518" max="518" width="6.5" style="1" customWidth="1"/>
    <col min="519" max="519" width="1.75" style="1" customWidth="1"/>
    <col min="520" max="520" width="10.25" style="1" customWidth="1"/>
    <col min="521" max="522" width="1.5" style="1" customWidth="1"/>
    <col min="523" max="523" width="10.75" style="1" customWidth="1"/>
    <col min="524" max="524" width="1.5" style="1" customWidth="1"/>
    <col min="525" max="526" width="9.875" style="1" customWidth="1"/>
    <col min="527" max="529" width="9.625" style="1" customWidth="1"/>
    <col min="530" max="530" width="10" style="1" customWidth="1"/>
    <col min="531" max="533" width="10.25" style="1" customWidth="1"/>
    <col min="534" max="768" width="9" style="1"/>
    <col min="769" max="769" width="1.5" style="1" customWidth="1"/>
    <col min="770" max="770" width="2.125" style="1" customWidth="1"/>
    <col min="771" max="771" width="2.5" style="1" customWidth="1"/>
    <col min="772" max="772" width="1.625" style="1" customWidth="1"/>
    <col min="773" max="773" width="6.625" style="1" customWidth="1"/>
    <col min="774" max="774" width="6.5" style="1" customWidth="1"/>
    <col min="775" max="775" width="1.75" style="1" customWidth="1"/>
    <col min="776" max="776" width="10.25" style="1" customWidth="1"/>
    <col min="777" max="778" width="1.5" style="1" customWidth="1"/>
    <col min="779" max="779" width="10.75" style="1" customWidth="1"/>
    <col min="780" max="780" width="1.5" style="1" customWidth="1"/>
    <col min="781" max="782" width="9.875" style="1" customWidth="1"/>
    <col min="783" max="785" width="9.625" style="1" customWidth="1"/>
    <col min="786" max="786" width="10" style="1" customWidth="1"/>
    <col min="787" max="789" width="10.25" style="1" customWidth="1"/>
    <col min="790" max="1024" width="9" style="1"/>
    <col min="1025" max="1025" width="1.5" style="1" customWidth="1"/>
    <col min="1026" max="1026" width="2.125" style="1" customWidth="1"/>
    <col min="1027" max="1027" width="2.5" style="1" customWidth="1"/>
    <col min="1028" max="1028" width="1.625" style="1" customWidth="1"/>
    <col min="1029" max="1029" width="6.625" style="1" customWidth="1"/>
    <col min="1030" max="1030" width="6.5" style="1" customWidth="1"/>
    <col min="1031" max="1031" width="1.75" style="1" customWidth="1"/>
    <col min="1032" max="1032" width="10.25" style="1" customWidth="1"/>
    <col min="1033" max="1034" width="1.5" style="1" customWidth="1"/>
    <col min="1035" max="1035" width="10.75" style="1" customWidth="1"/>
    <col min="1036" max="1036" width="1.5" style="1" customWidth="1"/>
    <col min="1037" max="1038" width="9.875" style="1" customWidth="1"/>
    <col min="1039" max="1041" width="9.625" style="1" customWidth="1"/>
    <col min="1042" max="1042" width="10" style="1" customWidth="1"/>
    <col min="1043" max="1045" width="10.25" style="1" customWidth="1"/>
    <col min="1046" max="1280" width="9" style="1"/>
    <col min="1281" max="1281" width="1.5" style="1" customWidth="1"/>
    <col min="1282" max="1282" width="2.125" style="1" customWidth="1"/>
    <col min="1283" max="1283" width="2.5" style="1" customWidth="1"/>
    <col min="1284" max="1284" width="1.625" style="1" customWidth="1"/>
    <col min="1285" max="1285" width="6.625" style="1" customWidth="1"/>
    <col min="1286" max="1286" width="6.5" style="1" customWidth="1"/>
    <col min="1287" max="1287" width="1.75" style="1" customWidth="1"/>
    <col min="1288" max="1288" width="10.25" style="1" customWidth="1"/>
    <col min="1289" max="1290" width="1.5" style="1" customWidth="1"/>
    <col min="1291" max="1291" width="10.75" style="1" customWidth="1"/>
    <col min="1292" max="1292" width="1.5" style="1" customWidth="1"/>
    <col min="1293" max="1294" width="9.875" style="1" customWidth="1"/>
    <col min="1295" max="1297" width="9.625" style="1" customWidth="1"/>
    <col min="1298" max="1298" width="10" style="1" customWidth="1"/>
    <col min="1299" max="1301" width="10.25" style="1" customWidth="1"/>
    <col min="1302" max="1536" width="9" style="1"/>
    <col min="1537" max="1537" width="1.5" style="1" customWidth="1"/>
    <col min="1538" max="1538" width="2.125" style="1" customWidth="1"/>
    <col min="1539" max="1539" width="2.5" style="1" customWidth="1"/>
    <col min="1540" max="1540" width="1.625" style="1" customWidth="1"/>
    <col min="1541" max="1541" width="6.625" style="1" customWidth="1"/>
    <col min="1542" max="1542" width="6.5" style="1" customWidth="1"/>
    <col min="1543" max="1543" width="1.75" style="1" customWidth="1"/>
    <col min="1544" max="1544" width="10.25" style="1" customWidth="1"/>
    <col min="1545" max="1546" width="1.5" style="1" customWidth="1"/>
    <col min="1547" max="1547" width="10.75" style="1" customWidth="1"/>
    <col min="1548" max="1548" width="1.5" style="1" customWidth="1"/>
    <col min="1549" max="1550" width="9.875" style="1" customWidth="1"/>
    <col min="1551" max="1553" width="9.625" style="1" customWidth="1"/>
    <col min="1554" max="1554" width="10" style="1" customWidth="1"/>
    <col min="1555" max="1557" width="10.25" style="1" customWidth="1"/>
    <col min="1558" max="1792" width="9" style="1"/>
    <col min="1793" max="1793" width="1.5" style="1" customWidth="1"/>
    <col min="1794" max="1794" width="2.125" style="1" customWidth="1"/>
    <col min="1795" max="1795" width="2.5" style="1" customWidth="1"/>
    <col min="1796" max="1796" width="1.625" style="1" customWidth="1"/>
    <col min="1797" max="1797" width="6.625" style="1" customWidth="1"/>
    <col min="1798" max="1798" width="6.5" style="1" customWidth="1"/>
    <col min="1799" max="1799" width="1.75" style="1" customWidth="1"/>
    <col min="1800" max="1800" width="10.25" style="1" customWidth="1"/>
    <col min="1801" max="1802" width="1.5" style="1" customWidth="1"/>
    <col min="1803" max="1803" width="10.75" style="1" customWidth="1"/>
    <col min="1804" max="1804" width="1.5" style="1" customWidth="1"/>
    <col min="1805" max="1806" width="9.875" style="1" customWidth="1"/>
    <col min="1807" max="1809" width="9.625" style="1" customWidth="1"/>
    <col min="1810" max="1810" width="10" style="1" customWidth="1"/>
    <col min="1811" max="1813" width="10.25" style="1" customWidth="1"/>
    <col min="1814" max="2048" width="9" style="1"/>
    <col min="2049" max="2049" width="1.5" style="1" customWidth="1"/>
    <col min="2050" max="2050" width="2.125" style="1" customWidth="1"/>
    <col min="2051" max="2051" width="2.5" style="1" customWidth="1"/>
    <col min="2052" max="2052" width="1.625" style="1" customWidth="1"/>
    <col min="2053" max="2053" width="6.625" style="1" customWidth="1"/>
    <col min="2054" max="2054" width="6.5" style="1" customWidth="1"/>
    <col min="2055" max="2055" width="1.75" style="1" customWidth="1"/>
    <col min="2056" max="2056" width="10.25" style="1" customWidth="1"/>
    <col min="2057" max="2058" width="1.5" style="1" customWidth="1"/>
    <col min="2059" max="2059" width="10.75" style="1" customWidth="1"/>
    <col min="2060" max="2060" width="1.5" style="1" customWidth="1"/>
    <col min="2061" max="2062" width="9.875" style="1" customWidth="1"/>
    <col min="2063" max="2065" width="9.625" style="1" customWidth="1"/>
    <col min="2066" max="2066" width="10" style="1" customWidth="1"/>
    <col min="2067" max="2069" width="10.25" style="1" customWidth="1"/>
    <col min="2070" max="2304" width="9" style="1"/>
    <col min="2305" max="2305" width="1.5" style="1" customWidth="1"/>
    <col min="2306" max="2306" width="2.125" style="1" customWidth="1"/>
    <col min="2307" max="2307" width="2.5" style="1" customWidth="1"/>
    <col min="2308" max="2308" width="1.625" style="1" customWidth="1"/>
    <col min="2309" max="2309" width="6.625" style="1" customWidth="1"/>
    <col min="2310" max="2310" width="6.5" style="1" customWidth="1"/>
    <col min="2311" max="2311" width="1.75" style="1" customWidth="1"/>
    <col min="2312" max="2312" width="10.25" style="1" customWidth="1"/>
    <col min="2313" max="2314" width="1.5" style="1" customWidth="1"/>
    <col min="2315" max="2315" width="10.75" style="1" customWidth="1"/>
    <col min="2316" max="2316" width="1.5" style="1" customWidth="1"/>
    <col min="2317" max="2318" width="9.875" style="1" customWidth="1"/>
    <col min="2319" max="2321" width="9.625" style="1" customWidth="1"/>
    <col min="2322" max="2322" width="10" style="1" customWidth="1"/>
    <col min="2323" max="2325" width="10.25" style="1" customWidth="1"/>
    <col min="2326" max="2560" width="9" style="1"/>
    <col min="2561" max="2561" width="1.5" style="1" customWidth="1"/>
    <col min="2562" max="2562" width="2.125" style="1" customWidth="1"/>
    <col min="2563" max="2563" width="2.5" style="1" customWidth="1"/>
    <col min="2564" max="2564" width="1.625" style="1" customWidth="1"/>
    <col min="2565" max="2565" width="6.625" style="1" customWidth="1"/>
    <col min="2566" max="2566" width="6.5" style="1" customWidth="1"/>
    <col min="2567" max="2567" width="1.75" style="1" customWidth="1"/>
    <col min="2568" max="2568" width="10.25" style="1" customWidth="1"/>
    <col min="2569" max="2570" width="1.5" style="1" customWidth="1"/>
    <col min="2571" max="2571" width="10.75" style="1" customWidth="1"/>
    <col min="2572" max="2572" width="1.5" style="1" customWidth="1"/>
    <col min="2573" max="2574" width="9.875" style="1" customWidth="1"/>
    <col min="2575" max="2577" width="9.625" style="1" customWidth="1"/>
    <col min="2578" max="2578" width="10" style="1" customWidth="1"/>
    <col min="2579" max="2581" width="10.25" style="1" customWidth="1"/>
    <col min="2582" max="2816" width="9" style="1"/>
    <col min="2817" max="2817" width="1.5" style="1" customWidth="1"/>
    <col min="2818" max="2818" width="2.125" style="1" customWidth="1"/>
    <col min="2819" max="2819" width="2.5" style="1" customWidth="1"/>
    <col min="2820" max="2820" width="1.625" style="1" customWidth="1"/>
    <col min="2821" max="2821" width="6.625" style="1" customWidth="1"/>
    <col min="2822" max="2822" width="6.5" style="1" customWidth="1"/>
    <col min="2823" max="2823" width="1.75" style="1" customWidth="1"/>
    <col min="2824" max="2824" width="10.25" style="1" customWidth="1"/>
    <col min="2825" max="2826" width="1.5" style="1" customWidth="1"/>
    <col min="2827" max="2827" width="10.75" style="1" customWidth="1"/>
    <col min="2828" max="2828" width="1.5" style="1" customWidth="1"/>
    <col min="2829" max="2830" width="9.875" style="1" customWidth="1"/>
    <col min="2831" max="2833" width="9.625" style="1" customWidth="1"/>
    <col min="2834" max="2834" width="10" style="1" customWidth="1"/>
    <col min="2835" max="2837" width="10.25" style="1" customWidth="1"/>
    <col min="2838" max="3072" width="9" style="1"/>
    <col min="3073" max="3073" width="1.5" style="1" customWidth="1"/>
    <col min="3074" max="3074" width="2.125" style="1" customWidth="1"/>
    <col min="3075" max="3075" width="2.5" style="1" customWidth="1"/>
    <col min="3076" max="3076" width="1.625" style="1" customWidth="1"/>
    <col min="3077" max="3077" width="6.625" style="1" customWidth="1"/>
    <col min="3078" max="3078" width="6.5" style="1" customWidth="1"/>
    <col min="3079" max="3079" width="1.75" style="1" customWidth="1"/>
    <col min="3080" max="3080" width="10.25" style="1" customWidth="1"/>
    <col min="3081" max="3082" width="1.5" style="1" customWidth="1"/>
    <col min="3083" max="3083" width="10.75" style="1" customWidth="1"/>
    <col min="3084" max="3084" width="1.5" style="1" customWidth="1"/>
    <col min="3085" max="3086" width="9.875" style="1" customWidth="1"/>
    <col min="3087" max="3089" width="9.625" style="1" customWidth="1"/>
    <col min="3090" max="3090" width="10" style="1" customWidth="1"/>
    <col min="3091" max="3093" width="10.25" style="1" customWidth="1"/>
    <col min="3094" max="3328" width="9" style="1"/>
    <col min="3329" max="3329" width="1.5" style="1" customWidth="1"/>
    <col min="3330" max="3330" width="2.125" style="1" customWidth="1"/>
    <col min="3331" max="3331" width="2.5" style="1" customWidth="1"/>
    <col min="3332" max="3332" width="1.625" style="1" customWidth="1"/>
    <col min="3333" max="3333" width="6.625" style="1" customWidth="1"/>
    <col min="3334" max="3334" width="6.5" style="1" customWidth="1"/>
    <col min="3335" max="3335" width="1.75" style="1" customWidth="1"/>
    <col min="3336" max="3336" width="10.25" style="1" customWidth="1"/>
    <col min="3337" max="3338" width="1.5" style="1" customWidth="1"/>
    <col min="3339" max="3339" width="10.75" style="1" customWidth="1"/>
    <col min="3340" max="3340" width="1.5" style="1" customWidth="1"/>
    <col min="3341" max="3342" width="9.875" style="1" customWidth="1"/>
    <col min="3343" max="3345" width="9.625" style="1" customWidth="1"/>
    <col min="3346" max="3346" width="10" style="1" customWidth="1"/>
    <col min="3347" max="3349" width="10.25" style="1" customWidth="1"/>
    <col min="3350" max="3584" width="9" style="1"/>
    <col min="3585" max="3585" width="1.5" style="1" customWidth="1"/>
    <col min="3586" max="3586" width="2.125" style="1" customWidth="1"/>
    <col min="3587" max="3587" width="2.5" style="1" customWidth="1"/>
    <col min="3588" max="3588" width="1.625" style="1" customWidth="1"/>
    <col min="3589" max="3589" width="6.625" style="1" customWidth="1"/>
    <col min="3590" max="3590" width="6.5" style="1" customWidth="1"/>
    <col min="3591" max="3591" width="1.75" style="1" customWidth="1"/>
    <col min="3592" max="3592" width="10.25" style="1" customWidth="1"/>
    <col min="3593" max="3594" width="1.5" style="1" customWidth="1"/>
    <col min="3595" max="3595" width="10.75" style="1" customWidth="1"/>
    <col min="3596" max="3596" width="1.5" style="1" customWidth="1"/>
    <col min="3597" max="3598" width="9.875" style="1" customWidth="1"/>
    <col min="3599" max="3601" width="9.625" style="1" customWidth="1"/>
    <col min="3602" max="3602" width="10" style="1" customWidth="1"/>
    <col min="3603" max="3605" width="10.25" style="1" customWidth="1"/>
    <col min="3606" max="3840" width="9" style="1"/>
    <col min="3841" max="3841" width="1.5" style="1" customWidth="1"/>
    <col min="3842" max="3842" width="2.125" style="1" customWidth="1"/>
    <col min="3843" max="3843" width="2.5" style="1" customWidth="1"/>
    <col min="3844" max="3844" width="1.625" style="1" customWidth="1"/>
    <col min="3845" max="3845" width="6.625" style="1" customWidth="1"/>
    <col min="3846" max="3846" width="6.5" style="1" customWidth="1"/>
    <col min="3847" max="3847" width="1.75" style="1" customWidth="1"/>
    <col min="3848" max="3848" width="10.25" style="1" customWidth="1"/>
    <col min="3849" max="3850" width="1.5" style="1" customWidth="1"/>
    <col min="3851" max="3851" width="10.75" style="1" customWidth="1"/>
    <col min="3852" max="3852" width="1.5" style="1" customWidth="1"/>
    <col min="3853" max="3854" width="9.875" style="1" customWidth="1"/>
    <col min="3855" max="3857" width="9.625" style="1" customWidth="1"/>
    <col min="3858" max="3858" width="10" style="1" customWidth="1"/>
    <col min="3859" max="3861" width="10.25" style="1" customWidth="1"/>
    <col min="3862" max="4096" width="9" style="1"/>
    <col min="4097" max="4097" width="1.5" style="1" customWidth="1"/>
    <col min="4098" max="4098" width="2.125" style="1" customWidth="1"/>
    <col min="4099" max="4099" width="2.5" style="1" customWidth="1"/>
    <col min="4100" max="4100" width="1.625" style="1" customWidth="1"/>
    <col min="4101" max="4101" width="6.625" style="1" customWidth="1"/>
    <col min="4102" max="4102" width="6.5" style="1" customWidth="1"/>
    <col min="4103" max="4103" width="1.75" style="1" customWidth="1"/>
    <col min="4104" max="4104" width="10.25" style="1" customWidth="1"/>
    <col min="4105" max="4106" width="1.5" style="1" customWidth="1"/>
    <col min="4107" max="4107" width="10.75" style="1" customWidth="1"/>
    <col min="4108" max="4108" width="1.5" style="1" customWidth="1"/>
    <col min="4109" max="4110" width="9.875" style="1" customWidth="1"/>
    <col min="4111" max="4113" width="9.625" style="1" customWidth="1"/>
    <col min="4114" max="4114" width="10" style="1" customWidth="1"/>
    <col min="4115" max="4117" width="10.25" style="1" customWidth="1"/>
    <col min="4118" max="4352" width="9" style="1"/>
    <col min="4353" max="4353" width="1.5" style="1" customWidth="1"/>
    <col min="4354" max="4354" width="2.125" style="1" customWidth="1"/>
    <col min="4355" max="4355" width="2.5" style="1" customWidth="1"/>
    <col min="4356" max="4356" width="1.625" style="1" customWidth="1"/>
    <col min="4357" max="4357" width="6.625" style="1" customWidth="1"/>
    <col min="4358" max="4358" width="6.5" style="1" customWidth="1"/>
    <col min="4359" max="4359" width="1.75" style="1" customWidth="1"/>
    <col min="4360" max="4360" width="10.25" style="1" customWidth="1"/>
    <col min="4361" max="4362" width="1.5" style="1" customWidth="1"/>
    <col min="4363" max="4363" width="10.75" style="1" customWidth="1"/>
    <col min="4364" max="4364" width="1.5" style="1" customWidth="1"/>
    <col min="4365" max="4366" width="9.875" style="1" customWidth="1"/>
    <col min="4367" max="4369" width="9.625" style="1" customWidth="1"/>
    <col min="4370" max="4370" width="10" style="1" customWidth="1"/>
    <col min="4371" max="4373" width="10.25" style="1" customWidth="1"/>
    <col min="4374" max="4608" width="9" style="1"/>
    <col min="4609" max="4609" width="1.5" style="1" customWidth="1"/>
    <col min="4610" max="4610" width="2.125" style="1" customWidth="1"/>
    <col min="4611" max="4611" width="2.5" style="1" customWidth="1"/>
    <col min="4612" max="4612" width="1.625" style="1" customWidth="1"/>
    <col min="4613" max="4613" width="6.625" style="1" customWidth="1"/>
    <col min="4614" max="4614" width="6.5" style="1" customWidth="1"/>
    <col min="4615" max="4615" width="1.75" style="1" customWidth="1"/>
    <col min="4616" max="4616" width="10.25" style="1" customWidth="1"/>
    <col min="4617" max="4618" width="1.5" style="1" customWidth="1"/>
    <col min="4619" max="4619" width="10.75" style="1" customWidth="1"/>
    <col min="4620" max="4620" width="1.5" style="1" customWidth="1"/>
    <col min="4621" max="4622" width="9.875" style="1" customWidth="1"/>
    <col min="4623" max="4625" width="9.625" style="1" customWidth="1"/>
    <col min="4626" max="4626" width="10" style="1" customWidth="1"/>
    <col min="4627" max="4629" width="10.25" style="1" customWidth="1"/>
    <col min="4630" max="4864" width="9" style="1"/>
    <col min="4865" max="4865" width="1.5" style="1" customWidth="1"/>
    <col min="4866" max="4866" width="2.125" style="1" customWidth="1"/>
    <col min="4867" max="4867" width="2.5" style="1" customWidth="1"/>
    <col min="4868" max="4868" width="1.625" style="1" customWidth="1"/>
    <col min="4869" max="4869" width="6.625" style="1" customWidth="1"/>
    <col min="4870" max="4870" width="6.5" style="1" customWidth="1"/>
    <col min="4871" max="4871" width="1.75" style="1" customWidth="1"/>
    <col min="4872" max="4872" width="10.25" style="1" customWidth="1"/>
    <col min="4873" max="4874" width="1.5" style="1" customWidth="1"/>
    <col min="4875" max="4875" width="10.75" style="1" customWidth="1"/>
    <col min="4876" max="4876" width="1.5" style="1" customWidth="1"/>
    <col min="4877" max="4878" width="9.875" style="1" customWidth="1"/>
    <col min="4879" max="4881" width="9.625" style="1" customWidth="1"/>
    <col min="4882" max="4882" width="10" style="1" customWidth="1"/>
    <col min="4883" max="4885" width="10.25" style="1" customWidth="1"/>
    <col min="4886" max="5120" width="9" style="1"/>
    <col min="5121" max="5121" width="1.5" style="1" customWidth="1"/>
    <col min="5122" max="5122" width="2.125" style="1" customWidth="1"/>
    <col min="5123" max="5123" width="2.5" style="1" customWidth="1"/>
    <col min="5124" max="5124" width="1.625" style="1" customWidth="1"/>
    <col min="5125" max="5125" width="6.625" style="1" customWidth="1"/>
    <col min="5126" max="5126" width="6.5" style="1" customWidth="1"/>
    <col min="5127" max="5127" width="1.75" style="1" customWidth="1"/>
    <col min="5128" max="5128" width="10.25" style="1" customWidth="1"/>
    <col min="5129" max="5130" width="1.5" style="1" customWidth="1"/>
    <col min="5131" max="5131" width="10.75" style="1" customWidth="1"/>
    <col min="5132" max="5132" width="1.5" style="1" customWidth="1"/>
    <col min="5133" max="5134" width="9.875" style="1" customWidth="1"/>
    <col min="5135" max="5137" width="9.625" style="1" customWidth="1"/>
    <col min="5138" max="5138" width="10" style="1" customWidth="1"/>
    <col min="5139" max="5141" width="10.25" style="1" customWidth="1"/>
    <col min="5142" max="5376" width="9" style="1"/>
    <col min="5377" max="5377" width="1.5" style="1" customWidth="1"/>
    <col min="5378" max="5378" width="2.125" style="1" customWidth="1"/>
    <col min="5379" max="5379" width="2.5" style="1" customWidth="1"/>
    <col min="5380" max="5380" width="1.625" style="1" customWidth="1"/>
    <col min="5381" max="5381" width="6.625" style="1" customWidth="1"/>
    <col min="5382" max="5382" width="6.5" style="1" customWidth="1"/>
    <col min="5383" max="5383" width="1.75" style="1" customWidth="1"/>
    <col min="5384" max="5384" width="10.25" style="1" customWidth="1"/>
    <col min="5385" max="5386" width="1.5" style="1" customWidth="1"/>
    <col min="5387" max="5387" width="10.75" style="1" customWidth="1"/>
    <col min="5388" max="5388" width="1.5" style="1" customWidth="1"/>
    <col min="5389" max="5390" width="9.875" style="1" customWidth="1"/>
    <col min="5391" max="5393" width="9.625" style="1" customWidth="1"/>
    <col min="5394" max="5394" width="10" style="1" customWidth="1"/>
    <col min="5395" max="5397" width="10.25" style="1" customWidth="1"/>
    <col min="5398" max="5632" width="9" style="1"/>
    <col min="5633" max="5633" width="1.5" style="1" customWidth="1"/>
    <col min="5634" max="5634" width="2.125" style="1" customWidth="1"/>
    <col min="5635" max="5635" width="2.5" style="1" customWidth="1"/>
    <col min="5636" max="5636" width="1.625" style="1" customWidth="1"/>
    <col min="5637" max="5637" width="6.625" style="1" customWidth="1"/>
    <col min="5638" max="5638" width="6.5" style="1" customWidth="1"/>
    <col min="5639" max="5639" width="1.75" style="1" customWidth="1"/>
    <col min="5640" max="5640" width="10.25" style="1" customWidth="1"/>
    <col min="5641" max="5642" width="1.5" style="1" customWidth="1"/>
    <col min="5643" max="5643" width="10.75" style="1" customWidth="1"/>
    <col min="5644" max="5644" width="1.5" style="1" customWidth="1"/>
    <col min="5645" max="5646" width="9.875" style="1" customWidth="1"/>
    <col min="5647" max="5649" width="9.625" style="1" customWidth="1"/>
    <col min="5650" max="5650" width="10" style="1" customWidth="1"/>
    <col min="5651" max="5653" width="10.25" style="1" customWidth="1"/>
    <col min="5654" max="5888" width="9" style="1"/>
    <col min="5889" max="5889" width="1.5" style="1" customWidth="1"/>
    <col min="5890" max="5890" width="2.125" style="1" customWidth="1"/>
    <col min="5891" max="5891" width="2.5" style="1" customWidth="1"/>
    <col min="5892" max="5892" width="1.625" style="1" customWidth="1"/>
    <col min="5893" max="5893" width="6.625" style="1" customWidth="1"/>
    <col min="5894" max="5894" width="6.5" style="1" customWidth="1"/>
    <col min="5895" max="5895" width="1.75" style="1" customWidth="1"/>
    <col min="5896" max="5896" width="10.25" style="1" customWidth="1"/>
    <col min="5897" max="5898" width="1.5" style="1" customWidth="1"/>
    <col min="5899" max="5899" width="10.75" style="1" customWidth="1"/>
    <col min="5900" max="5900" width="1.5" style="1" customWidth="1"/>
    <col min="5901" max="5902" width="9.875" style="1" customWidth="1"/>
    <col min="5903" max="5905" width="9.625" style="1" customWidth="1"/>
    <col min="5906" max="5906" width="10" style="1" customWidth="1"/>
    <col min="5907" max="5909" width="10.25" style="1" customWidth="1"/>
    <col min="5910" max="6144" width="9" style="1"/>
    <col min="6145" max="6145" width="1.5" style="1" customWidth="1"/>
    <col min="6146" max="6146" width="2.125" style="1" customWidth="1"/>
    <col min="6147" max="6147" width="2.5" style="1" customWidth="1"/>
    <col min="6148" max="6148" width="1.625" style="1" customWidth="1"/>
    <col min="6149" max="6149" width="6.625" style="1" customWidth="1"/>
    <col min="6150" max="6150" width="6.5" style="1" customWidth="1"/>
    <col min="6151" max="6151" width="1.75" style="1" customWidth="1"/>
    <col min="6152" max="6152" width="10.25" style="1" customWidth="1"/>
    <col min="6153" max="6154" width="1.5" style="1" customWidth="1"/>
    <col min="6155" max="6155" width="10.75" style="1" customWidth="1"/>
    <col min="6156" max="6156" width="1.5" style="1" customWidth="1"/>
    <col min="6157" max="6158" width="9.875" style="1" customWidth="1"/>
    <col min="6159" max="6161" width="9.625" style="1" customWidth="1"/>
    <col min="6162" max="6162" width="10" style="1" customWidth="1"/>
    <col min="6163" max="6165" width="10.25" style="1" customWidth="1"/>
    <col min="6166" max="6400" width="9" style="1"/>
    <col min="6401" max="6401" width="1.5" style="1" customWidth="1"/>
    <col min="6402" max="6402" width="2.125" style="1" customWidth="1"/>
    <col min="6403" max="6403" width="2.5" style="1" customWidth="1"/>
    <col min="6404" max="6404" width="1.625" style="1" customWidth="1"/>
    <col min="6405" max="6405" width="6.625" style="1" customWidth="1"/>
    <col min="6406" max="6406" width="6.5" style="1" customWidth="1"/>
    <col min="6407" max="6407" width="1.75" style="1" customWidth="1"/>
    <col min="6408" max="6408" width="10.25" style="1" customWidth="1"/>
    <col min="6409" max="6410" width="1.5" style="1" customWidth="1"/>
    <col min="6411" max="6411" width="10.75" style="1" customWidth="1"/>
    <col min="6412" max="6412" width="1.5" style="1" customWidth="1"/>
    <col min="6413" max="6414" width="9.875" style="1" customWidth="1"/>
    <col min="6415" max="6417" width="9.625" style="1" customWidth="1"/>
    <col min="6418" max="6418" width="10" style="1" customWidth="1"/>
    <col min="6419" max="6421" width="10.25" style="1" customWidth="1"/>
    <col min="6422" max="6656" width="9" style="1"/>
    <col min="6657" max="6657" width="1.5" style="1" customWidth="1"/>
    <col min="6658" max="6658" width="2.125" style="1" customWidth="1"/>
    <col min="6659" max="6659" width="2.5" style="1" customWidth="1"/>
    <col min="6660" max="6660" width="1.625" style="1" customWidth="1"/>
    <col min="6661" max="6661" width="6.625" style="1" customWidth="1"/>
    <col min="6662" max="6662" width="6.5" style="1" customWidth="1"/>
    <col min="6663" max="6663" width="1.75" style="1" customWidth="1"/>
    <col min="6664" max="6664" width="10.25" style="1" customWidth="1"/>
    <col min="6665" max="6666" width="1.5" style="1" customWidth="1"/>
    <col min="6667" max="6667" width="10.75" style="1" customWidth="1"/>
    <col min="6668" max="6668" width="1.5" style="1" customWidth="1"/>
    <col min="6669" max="6670" width="9.875" style="1" customWidth="1"/>
    <col min="6671" max="6673" width="9.625" style="1" customWidth="1"/>
    <col min="6674" max="6674" width="10" style="1" customWidth="1"/>
    <col min="6675" max="6677" width="10.25" style="1" customWidth="1"/>
    <col min="6678" max="6912" width="9" style="1"/>
    <col min="6913" max="6913" width="1.5" style="1" customWidth="1"/>
    <col min="6914" max="6914" width="2.125" style="1" customWidth="1"/>
    <col min="6915" max="6915" width="2.5" style="1" customWidth="1"/>
    <col min="6916" max="6916" width="1.625" style="1" customWidth="1"/>
    <col min="6917" max="6917" width="6.625" style="1" customWidth="1"/>
    <col min="6918" max="6918" width="6.5" style="1" customWidth="1"/>
    <col min="6919" max="6919" width="1.75" style="1" customWidth="1"/>
    <col min="6920" max="6920" width="10.25" style="1" customWidth="1"/>
    <col min="6921" max="6922" width="1.5" style="1" customWidth="1"/>
    <col min="6923" max="6923" width="10.75" style="1" customWidth="1"/>
    <col min="6924" max="6924" width="1.5" style="1" customWidth="1"/>
    <col min="6925" max="6926" width="9.875" style="1" customWidth="1"/>
    <col min="6927" max="6929" width="9.625" style="1" customWidth="1"/>
    <col min="6930" max="6930" width="10" style="1" customWidth="1"/>
    <col min="6931" max="6933" width="10.25" style="1" customWidth="1"/>
    <col min="6934" max="7168" width="9" style="1"/>
    <col min="7169" max="7169" width="1.5" style="1" customWidth="1"/>
    <col min="7170" max="7170" width="2.125" style="1" customWidth="1"/>
    <col min="7171" max="7171" width="2.5" style="1" customWidth="1"/>
    <col min="7172" max="7172" width="1.625" style="1" customWidth="1"/>
    <col min="7173" max="7173" width="6.625" style="1" customWidth="1"/>
    <col min="7174" max="7174" width="6.5" style="1" customWidth="1"/>
    <col min="7175" max="7175" width="1.75" style="1" customWidth="1"/>
    <col min="7176" max="7176" width="10.25" style="1" customWidth="1"/>
    <col min="7177" max="7178" width="1.5" style="1" customWidth="1"/>
    <col min="7179" max="7179" width="10.75" style="1" customWidth="1"/>
    <col min="7180" max="7180" width="1.5" style="1" customWidth="1"/>
    <col min="7181" max="7182" width="9.875" style="1" customWidth="1"/>
    <col min="7183" max="7185" width="9.625" style="1" customWidth="1"/>
    <col min="7186" max="7186" width="10" style="1" customWidth="1"/>
    <col min="7187" max="7189" width="10.25" style="1" customWidth="1"/>
    <col min="7190" max="7424" width="9" style="1"/>
    <col min="7425" max="7425" width="1.5" style="1" customWidth="1"/>
    <col min="7426" max="7426" width="2.125" style="1" customWidth="1"/>
    <col min="7427" max="7427" width="2.5" style="1" customWidth="1"/>
    <col min="7428" max="7428" width="1.625" style="1" customWidth="1"/>
    <col min="7429" max="7429" width="6.625" style="1" customWidth="1"/>
    <col min="7430" max="7430" width="6.5" style="1" customWidth="1"/>
    <col min="7431" max="7431" width="1.75" style="1" customWidth="1"/>
    <col min="7432" max="7432" width="10.25" style="1" customWidth="1"/>
    <col min="7433" max="7434" width="1.5" style="1" customWidth="1"/>
    <col min="7435" max="7435" width="10.75" style="1" customWidth="1"/>
    <col min="7436" max="7436" width="1.5" style="1" customWidth="1"/>
    <col min="7437" max="7438" width="9.875" style="1" customWidth="1"/>
    <col min="7439" max="7441" width="9.625" style="1" customWidth="1"/>
    <col min="7442" max="7442" width="10" style="1" customWidth="1"/>
    <col min="7443" max="7445" width="10.25" style="1" customWidth="1"/>
    <col min="7446" max="7680" width="9" style="1"/>
    <col min="7681" max="7681" width="1.5" style="1" customWidth="1"/>
    <col min="7682" max="7682" width="2.125" style="1" customWidth="1"/>
    <col min="7683" max="7683" width="2.5" style="1" customWidth="1"/>
    <col min="7684" max="7684" width="1.625" style="1" customWidth="1"/>
    <col min="7685" max="7685" width="6.625" style="1" customWidth="1"/>
    <col min="7686" max="7686" width="6.5" style="1" customWidth="1"/>
    <col min="7687" max="7687" width="1.75" style="1" customWidth="1"/>
    <col min="7688" max="7688" width="10.25" style="1" customWidth="1"/>
    <col min="7689" max="7690" width="1.5" style="1" customWidth="1"/>
    <col min="7691" max="7691" width="10.75" style="1" customWidth="1"/>
    <col min="7692" max="7692" width="1.5" style="1" customWidth="1"/>
    <col min="7693" max="7694" width="9.875" style="1" customWidth="1"/>
    <col min="7695" max="7697" width="9.625" style="1" customWidth="1"/>
    <col min="7698" max="7698" width="10" style="1" customWidth="1"/>
    <col min="7699" max="7701" width="10.25" style="1" customWidth="1"/>
    <col min="7702" max="7936" width="9" style="1"/>
    <col min="7937" max="7937" width="1.5" style="1" customWidth="1"/>
    <col min="7938" max="7938" width="2.125" style="1" customWidth="1"/>
    <col min="7939" max="7939" width="2.5" style="1" customWidth="1"/>
    <col min="7940" max="7940" width="1.625" style="1" customWidth="1"/>
    <col min="7941" max="7941" width="6.625" style="1" customWidth="1"/>
    <col min="7942" max="7942" width="6.5" style="1" customWidth="1"/>
    <col min="7943" max="7943" width="1.75" style="1" customWidth="1"/>
    <col min="7944" max="7944" width="10.25" style="1" customWidth="1"/>
    <col min="7945" max="7946" width="1.5" style="1" customWidth="1"/>
    <col min="7947" max="7947" width="10.75" style="1" customWidth="1"/>
    <col min="7948" max="7948" width="1.5" style="1" customWidth="1"/>
    <col min="7949" max="7950" width="9.875" style="1" customWidth="1"/>
    <col min="7951" max="7953" width="9.625" style="1" customWidth="1"/>
    <col min="7954" max="7954" width="10" style="1" customWidth="1"/>
    <col min="7955" max="7957" width="10.25" style="1" customWidth="1"/>
    <col min="7958" max="8192" width="9" style="1"/>
    <col min="8193" max="8193" width="1.5" style="1" customWidth="1"/>
    <col min="8194" max="8194" width="2.125" style="1" customWidth="1"/>
    <col min="8195" max="8195" width="2.5" style="1" customWidth="1"/>
    <col min="8196" max="8196" width="1.625" style="1" customWidth="1"/>
    <col min="8197" max="8197" width="6.625" style="1" customWidth="1"/>
    <col min="8198" max="8198" width="6.5" style="1" customWidth="1"/>
    <col min="8199" max="8199" width="1.75" style="1" customWidth="1"/>
    <col min="8200" max="8200" width="10.25" style="1" customWidth="1"/>
    <col min="8201" max="8202" width="1.5" style="1" customWidth="1"/>
    <col min="8203" max="8203" width="10.75" style="1" customWidth="1"/>
    <col min="8204" max="8204" width="1.5" style="1" customWidth="1"/>
    <col min="8205" max="8206" width="9.875" style="1" customWidth="1"/>
    <col min="8207" max="8209" width="9.625" style="1" customWidth="1"/>
    <col min="8210" max="8210" width="10" style="1" customWidth="1"/>
    <col min="8211" max="8213" width="10.25" style="1" customWidth="1"/>
    <col min="8214" max="8448" width="9" style="1"/>
    <col min="8449" max="8449" width="1.5" style="1" customWidth="1"/>
    <col min="8450" max="8450" width="2.125" style="1" customWidth="1"/>
    <col min="8451" max="8451" width="2.5" style="1" customWidth="1"/>
    <col min="8452" max="8452" width="1.625" style="1" customWidth="1"/>
    <col min="8453" max="8453" width="6.625" style="1" customWidth="1"/>
    <col min="8454" max="8454" width="6.5" style="1" customWidth="1"/>
    <col min="8455" max="8455" width="1.75" style="1" customWidth="1"/>
    <col min="8456" max="8456" width="10.25" style="1" customWidth="1"/>
    <col min="8457" max="8458" width="1.5" style="1" customWidth="1"/>
    <col min="8459" max="8459" width="10.75" style="1" customWidth="1"/>
    <col min="8460" max="8460" width="1.5" style="1" customWidth="1"/>
    <col min="8461" max="8462" width="9.875" style="1" customWidth="1"/>
    <col min="8463" max="8465" width="9.625" style="1" customWidth="1"/>
    <col min="8466" max="8466" width="10" style="1" customWidth="1"/>
    <col min="8467" max="8469" width="10.25" style="1" customWidth="1"/>
    <col min="8470" max="8704" width="9" style="1"/>
    <col min="8705" max="8705" width="1.5" style="1" customWidth="1"/>
    <col min="8706" max="8706" width="2.125" style="1" customWidth="1"/>
    <col min="8707" max="8707" width="2.5" style="1" customWidth="1"/>
    <col min="8708" max="8708" width="1.625" style="1" customWidth="1"/>
    <col min="8709" max="8709" width="6.625" style="1" customWidth="1"/>
    <col min="8710" max="8710" width="6.5" style="1" customWidth="1"/>
    <col min="8711" max="8711" width="1.75" style="1" customWidth="1"/>
    <col min="8712" max="8712" width="10.25" style="1" customWidth="1"/>
    <col min="8713" max="8714" width="1.5" style="1" customWidth="1"/>
    <col min="8715" max="8715" width="10.75" style="1" customWidth="1"/>
    <col min="8716" max="8716" width="1.5" style="1" customWidth="1"/>
    <col min="8717" max="8718" width="9.875" style="1" customWidth="1"/>
    <col min="8719" max="8721" width="9.625" style="1" customWidth="1"/>
    <col min="8722" max="8722" width="10" style="1" customWidth="1"/>
    <col min="8723" max="8725" width="10.25" style="1" customWidth="1"/>
    <col min="8726" max="8960" width="9" style="1"/>
    <col min="8961" max="8961" width="1.5" style="1" customWidth="1"/>
    <col min="8962" max="8962" width="2.125" style="1" customWidth="1"/>
    <col min="8963" max="8963" width="2.5" style="1" customWidth="1"/>
    <col min="8964" max="8964" width="1.625" style="1" customWidth="1"/>
    <col min="8965" max="8965" width="6.625" style="1" customWidth="1"/>
    <col min="8966" max="8966" width="6.5" style="1" customWidth="1"/>
    <col min="8967" max="8967" width="1.75" style="1" customWidth="1"/>
    <col min="8968" max="8968" width="10.25" style="1" customWidth="1"/>
    <col min="8969" max="8970" width="1.5" style="1" customWidth="1"/>
    <col min="8971" max="8971" width="10.75" style="1" customWidth="1"/>
    <col min="8972" max="8972" width="1.5" style="1" customWidth="1"/>
    <col min="8973" max="8974" width="9.875" style="1" customWidth="1"/>
    <col min="8975" max="8977" width="9.625" style="1" customWidth="1"/>
    <col min="8978" max="8978" width="10" style="1" customWidth="1"/>
    <col min="8979" max="8981" width="10.25" style="1" customWidth="1"/>
    <col min="8982" max="9216" width="9" style="1"/>
    <col min="9217" max="9217" width="1.5" style="1" customWidth="1"/>
    <col min="9218" max="9218" width="2.125" style="1" customWidth="1"/>
    <col min="9219" max="9219" width="2.5" style="1" customWidth="1"/>
    <col min="9220" max="9220" width="1.625" style="1" customWidth="1"/>
    <col min="9221" max="9221" width="6.625" style="1" customWidth="1"/>
    <col min="9222" max="9222" width="6.5" style="1" customWidth="1"/>
    <col min="9223" max="9223" width="1.75" style="1" customWidth="1"/>
    <col min="9224" max="9224" width="10.25" style="1" customWidth="1"/>
    <col min="9225" max="9226" width="1.5" style="1" customWidth="1"/>
    <col min="9227" max="9227" width="10.75" style="1" customWidth="1"/>
    <col min="9228" max="9228" width="1.5" style="1" customWidth="1"/>
    <col min="9229" max="9230" width="9.875" style="1" customWidth="1"/>
    <col min="9231" max="9233" width="9.625" style="1" customWidth="1"/>
    <col min="9234" max="9234" width="10" style="1" customWidth="1"/>
    <col min="9235" max="9237" width="10.25" style="1" customWidth="1"/>
    <col min="9238" max="9472" width="9" style="1"/>
    <col min="9473" max="9473" width="1.5" style="1" customWidth="1"/>
    <col min="9474" max="9474" width="2.125" style="1" customWidth="1"/>
    <col min="9475" max="9475" width="2.5" style="1" customWidth="1"/>
    <col min="9476" max="9476" width="1.625" style="1" customWidth="1"/>
    <col min="9477" max="9477" width="6.625" style="1" customWidth="1"/>
    <col min="9478" max="9478" width="6.5" style="1" customWidth="1"/>
    <col min="9479" max="9479" width="1.75" style="1" customWidth="1"/>
    <col min="9480" max="9480" width="10.25" style="1" customWidth="1"/>
    <col min="9481" max="9482" width="1.5" style="1" customWidth="1"/>
    <col min="9483" max="9483" width="10.75" style="1" customWidth="1"/>
    <col min="9484" max="9484" width="1.5" style="1" customWidth="1"/>
    <col min="9485" max="9486" width="9.875" style="1" customWidth="1"/>
    <col min="9487" max="9489" width="9.625" style="1" customWidth="1"/>
    <col min="9490" max="9490" width="10" style="1" customWidth="1"/>
    <col min="9491" max="9493" width="10.25" style="1" customWidth="1"/>
    <col min="9494" max="9728" width="9" style="1"/>
    <col min="9729" max="9729" width="1.5" style="1" customWidth="1"/>
    <col min="9730" max="9730" width="2.125" style="1" customWidth="1"/>
    <col min="9731" max="9731" width="2.5" style="1" customWidth="1"/>
    <col min="9732" max="9732" width="1.625" style="1" customWidth="1"/>
    <col min="9733" max="9733" width="6.625" style="1" customWidth="1"/>
    <col min="9734" max="9734" width="6.5" style="1" customWidth="1"/>
    <col min="9735" max="9735" width="1.75" style="1" customWidth="1"/>
    <col min="9736" max="9736" width="10.25" style="1" customWidth="1"/>
    <col min="9737" max="9738" width="1.5" style="1" customWidth="1"/>
    <col min="9739" max="9739" width="10.75" style="1" customWidth="1"/>
    <col min="9740" max="9740" width="1.5" style="1" customWidth="1"/>
    <col min="9741" max="9742" width="9.875" style="1" customWidth="1"/>
    <col min="9743" max="9745" width="9.625" style="1" customWidth="1"/>
    <col min="9746" max="9746" width="10" style="1" customWidth="1"/>
    <col min="9747" max="9749" width="10.25" style="1" customWidth="1"/>
    <col min="9750" max="9984" width="9" style="1"/>
    <col min="9985" max="9985" width="1.5" style="1" customWidth="1"/>
    <col min="9986" max="9986" width="2.125" style="1" customWidth="1"/>
    <col min="9987" max="9987" width="2.5" style="1" customWidth="1"/>
    <col min="9988" max="9988" width="1.625" style="1" customWidth="1"/>
    <col min="9989" max="9989" width="6.625" style="1" customWidth="1"/>
    <col min="9990" max="9990" width="6.5" style="1" customWidth="1"/>
    <col min="9991" max="9991" width="1.75" style="1" customWidth="1"/>
    <col min="9992" max="9992" width="10.25" style="1" customWidth="1"/>
    <col min="9993" max="9994" width="1.5" style="1" customWidth="1"/>
    <col min="9995" max="9995" width="10.75" style="1" customWidth="1"/>
    <col min="9996" max="9996" width="1.5" style="1" customWidth="1"/>
    <col min="9997" max="9998" width="9.875" style="1" customWidth="1"/>
    <col min="9999" max="10001" width="9.625" style="1" customWidth="1"/>
    <col min="10002" max="10002" width="10" style="1" customWidth="1"/>
    <col min="10003" max="10005" width="10.25" style="1" customWidth="1"/>
    <col min="10006" max="10240" width="9" style="1"/>
    <col min="10241" max="10241" width="1.5" style="1" customWidth="1"/>
    <col min="10242" max="10242" width="2.125" style="1" customWidth="1"/>
    <col min="10243" max="10243" width="2.5" style="1" customWidth="1"/>
    <col min="10244" max="10244" width="1.625" style="1" customWidth="1"/>
    <col min="10245" max="10245" width="6.625" style="1" customWidth="1"/>
    <col min="10246" max="10246" width="6.5" style="1" customWidth="1"/>
    <col min="10247" max="10247" width="1.75" style="1" customWidth="1"/>
    <col min="10248" max="10248" width="10.25" style="1" customWidth="1"/>
    <col min="10249" max="10250" width="1.5" style="1" customWidth="1"/>
    <col min="10251" max="10251" width="10.75" style="1" customWidth="1"/>
    <col min="10252" max="10252" width="1.5" style="1" customWidth="1"/>
    <col min="10253" max="10254" width="9.875" style="1" customWidth="1"/>
    <col min="10255" max="10257" width="9.625" style="1" customWidth="1"/>
    <col min="10258" max="10258" width="10" style="1" customWidth="1"/>
    <col min="10259" max="10261" width="10.25" style="1" customWidth="1"/>
    <col min="10262" max="10496" width="9" style="1"/>
    <col min="10497" max="10497" width="1.5" style="1" customWidth="1"/>
    <col min="10498" max="10498" width="2.125" style="1" customWidth="1"/>
    <col min="10499" max="10499" width="2.5" style="1" customWidth="1"/>
    <col min="10500" max="10500" width="1.625" style="1" customWidth="1"/>
    <col min="10501" max="10501" width="6.625" style="1" customWidth="1"/>
    <col min="10502" max="10502" width="6.5" style="1" customWidth="1"/>
    <col min="10503" max="10503" width="1.75" style="1" customWidth="1"/>
    <col min="10504" max="10504" width="10.25" style="1" customWidth="1"/>
    <col min="10505" max="10506" width="1.5" style="1" customWidth="1"/>
    <col min="10507" max="10507" width="10.75" style="1" customWidth="1"/>
    <col min="10508" max="10508" width="1.5" style="1" customWidth="1"/>
    <col min="10509" max="10510" width="9.875" style="1" customWidth="1"/>
    <col min="10511" max="10513" width="9.625" style="1" customWidth="1"/>
    <col min="10514" max="10514" width="10" style="1" customWidth="1"/>
    <col min="10515" max="10517" width="10.25" style="1" customWidth="1"/>
    <col min="10518" max="10752" width="9" style="1"/>
    <col min="10753" max="10753" width="1.5" style="1" customWidth="1"/>
    <col min="10754" max="10754" width="2.125" style="1" customWidth="1"/>
    <col min="10755" max="10755" width="2.5" style="1" customWidth="1"/>
    <col min="10756" max="10756" width="1.625" style="1" customWidth="1"/>
    <col min="10757" max="10757" width="6.625" style="1" customWidth="1"/>
    <col min="10758" max="10758" width="6.5" style="1" customWidth="1"/>
    <col min="10759" max="10759" width="1.75" style="1" customWidth="1"/>
    <col min="10760" max="10760" width="10.25" style="1" customWidth="1"/>
    <col min="10761" max="10762" width="1.5" style="1" customWidth="1"/>
    <col min="10763" max="10763" width="10.75" style="1" customWidth="1"/>
    <col min="10764" max="10764" width="1.5" style="1" customWidth="1"/>
    <col min="10765" max="10766" width="9.875" style="1" customWidth="1"/>
    <col min="10767" max="10769" width="9.625" style="1" customWidth="1"/>
    <col min="10770" max="10770" width="10" style="1" customWidth="1"/>
    <col min="10771" max="10773" width="10.25" style="1" customWidth="1"/>
    <col min="10774" max="11008" width="9" style="1"/>
    <col min="11009" max="11009" width="1.5" style="1" customWidth="1"/>
    <col min="11010" max="11010" width="2.125" style="1" customWidth="1"/>
    <col min="11011" max="11011" width="2.5" style="1" customWidth="1"/>
    <col min="11012" max="11012" width="1.625" style="1" customWidth="1"/>
    <col min="11013" max="11013" width="6.625" style="1" customWidth="1"/>
    <col min="11014" max="11014" width="6.5" style="1" customWidth="1"/>
    <col min="11015" max="11015" width="1.75" style="1" customWidth="1"/>
    <col min="11016" max="11016" width="10.25" style="1" customWidth="1"/>
    <col min="11017" max="11018" width="1.5" style="1" customWidth="1"/>
    <col min="11019" max="11019" width="10.75" style="1" customWidth="1"/>
    <col min="11020" max="11020" width="1.5" style="1" customWidth="1"/>
    <col min="11021" max="11022" width="9.875" style="1" customWidth="1"/>
    <col min="11023" max="11025" width="9.625" style="1" customWidth="1"/>
    <col min="11026" max="11026" width="10" style="1" customWidth="1"/>
    <col min="11027" max="11029" width="10.25" style="1" customWidth="1"/>
    <col min="11030" max="11264" width="9" style="1"/>
    <col min="11265" max="11265" width="1.5" style="1" customWidth="1"/>
    <col min="11266" max="11266" width="2.125" style="1" customWidth="1"/>
    <col min="11267" max="11267" width="2.5" style="1" customWidth="1"/>
    <col min="11268" max="11268" width="1.625" style="1" customWidth="1"/>
    <col min="11269" max="11269" width="6.625" style="1" customWidth="1"/>
    <col min="11270" max="11270" width="6.5" style="1" customWidth="1"/>
    <col min="11271" max="11271" width="1.75" style="1" customWidth="1"/>
    <col min="11272" max="11272" width="10.25" style="1" customWidth="1"/>
    <col min="11273" max="11274" width="1.5" style="1" customWidth="1"/>
    <col min="11275" max="11275" width="10.75" style="1" customWidth="1"/>
    <col min="11276" max="11276" width="1.5" style="1" customWidth="1"/>
    <col min="11277" max="11278" width="9.875" style="1" customWidth="1"/>
    <col min="11279" max="11281" width="9.625" style="1" customWidth="1"/>
    <col min="11282" max="11282" width="10" style="1" customWidth="1"/>
    <col min="11283" max="11285" width="10.25" style="1" customWidth="1"/>
    <col min="11286" max="11520" width="9" style="1"/>
    <col min="11521" max="11521" width="1.5" style="1" customWidth="1"/>
    <col min="11522" max="11522" width="2.125" style="1" customWidth="1"/>
    <col min="11523" max="11523" width="2.5" style="1" customWidth="1"/>
    <col min="11524" max="11524" width="1.625" style="1" customWidth="1"/>
    <col min="11525" max="11525" width="6.625" style="1" customWidth="1"/>
    <col min="11526" max="11526" width="6.5" style="1" customWidth="1"/>
    <col min="11527" max="11527" width="1.75" style="1" customWidth="1"/>
    <col min="11528" max="11528" width="10.25" style="1" customWidth="1"/>
    <col min="11529" max="11530" width="1.5" style="1" customWidth="1"/>
    <col min="11531" max="11531" width="10.75" style="1" customWidth="1"/>
    <col min="11532" max="11532" width="1.5" style="1" customWidth="1"/>
    <col min="11533" max="11534" width="9.875" style="1" customWidth="1"/>
    <col min="11535" max="11537" width="9.625" style="1" customWidth="1"/>
    <col min="11538" max="11538" width="10" style="1" customWidth="1"/>
    <col min="11539" max="11541" width="10.25" style="1" customWidth="1"/>
    <col min="11542" max="11776" width="9" style="1"/>
    <col min="11777" max="11777" width="1.5" style="1" customWidth="1"/>
    <col min="11778" max="11778" width="2.125" style="1" customWidth="1"/>
    <col min="11779" max="11779" width="2.5" style="1" customWidth="1"/>
    <col min="11780" max="11780" width="1.625" style="1" customWidth="1"/>
    <col min="11781" max="11781" width="6.625" style="1" customWidth="1"/>
    <col min="11782" max="11782" width="6.5" style="1" customWidth="1"/>
    <col min="11783" max="11783" width="1.75" style="1" customWidth="1"/>
    <col min="11784" max="11784" width="10.25" style="1" customWidth="1"/>
    <col min="11785" max="11786" width="1.5" style="1" customWidth="1"/>
    <col min="11787" max="11787" width="10.75" style="1" customWidth="1"/>
    <col min="11788" max="11788" width="1.5" style="1" customWidth="1"/>
    <col min="11789" max="11790" width="9.875" style="1" customWidth="1"/>
    <col min="11791" max="11793" width="9.625" style="1" customWidth="1"/>
    <col min="11794" max="11794" width="10" style="1" customWidth="1"/>
    <col min="11795" max="11797" width="10.25" style="1" customWidth="1"/>
    <col min="11798" max="12032" width="9" style="1"/>
    <col min="12033" max="12033" width="1.5" style="1" customWidth="1"/>
    <col min="12034" max="12034" width="2.125" style="1" customWidth="1"/>
    <col min="12035" max="12035" width="2.5" style="1" customWidth="1"/>
    <col min="12036" max="12036" width="1.625" style="1" customWidth="1"/>
    <col min="12037" max="12037" width="6.625" style="1" customWidth="1"/>
    <col min="12038" max="12038" width="6.5" style="1" customWidth="1"/>
    <col min="12039" max="12039" width="1.75" style="1" customWidth="1"/>
    <col min="12040" max="12040" width="10.25" style="1" customWidth="1"/>
    <col min="12041" max="12042" width="1.5" style="1" customWidth="1"/>
    <col min="12043" max="12043" width="10.75" style="1" customWidth="1"/>
    <col min="12044" max="12044" width="1.5" style="1" customWidth="1"/>
    <col min="12045" max="12046" width="9.875" style="1" customWidth="1"/>
    <col min="12047" max="12049" width="9.625" style="1" customWidth="1"/>
    <col min="12050" max="12050" width="10" style="1" customWidth="1"/>
    <col min="12051" max="12053" width="10.25" style="1" customWidth="1"/>
    <col min="12054" max="12288" width="9" style="1"/>
    <col min="12289" max="12289" width="1.5" style="1" customWidth="1"/>
    <col min="12290" max="12290" width="2.125" style="1" customWidth="1"/>
    <col min="12291" max="12291" width="2.5" style="1" customWidth="1"/>
    <col min="12292" max="12292" width="1.625" style="1" customWidth="1"/>
    <col min="12293" max="12293" width="6.625" style="1" customWidth="1"/>
    <col min="12294" max="12294" width="6.5" style="1" customWidth="1"/>
    <col min="12295" max="12295" width="1.75" style="1" customWidth="1"/>
    <col min="12296" max="12296" width="10.25" style="1" customWidth="1"/>
    <col min="12297" max="12298" width="1.5" style="1" customWidth="1"/>
    <col min="12299" max="12299" width="10.75" style="1" customWidth="1"/>
    <col min="12300" max="12300" width="1.5" style="1" customWidth="1"/>
    <col min="12301" max="12302" width="9.875" style="1" customWidth="1"/>
    <col min="12303" max="12305" width="9.625" style="1" customWidth="1"/>
    <col min="12306" max="12306" width="10" style="1" customWidth="1"/>
    <col min="12307" max="12309" width="10.25" style="1" customWidth="1"/>
    <col min="12310" max="12544" width="9" style="1"/>
    <col min="12545" max="12545" width="1.5" style="1" customWidth="1"/>
    <col min="12546" max="12546" width="2.125" style="1" customWidth="1"/>
    <col min="12547" max="12547" width="2.5" style="1" customWidth="1"/>
    <col min="12548" max="12548" width="1.625" style="1" customWidth="1"/>
    <col min="12549" max="12549" width="6.625" style="1" customWidth="1"/>
    <col min="12550" max="12550" width="6.5" style="1" customWidth="1"/>
    <col min="12551" max="12551" width="1.75" style="1" customWidth="1"/>
    <col min="12552" max="12552" width="10.25" style="1" customWidth="1"/>
    <col min="12553" max="12554" width="1.5" style="1" customWidth="1"/>
    <col min="12555" max="12555" width="10.75" style="1" customWidth="1"/>
    <col min="12556" max="12556" width="1.5" style="1" customWidth="1"/>
    <col min="12557" max="12558" width="9.875" style="1" customWidth="1"/>
    <col min="12559" max="12561" width="9.625" style="1" customWidth="1"/>
    <col min="12562" max="12562" width="10" style="1" customWidth="1"/>
    <col min="12563" max="12565" width="10.25" style="1" customWidth="1"/>
    <col min="12566" max="12800" width="9" style="1"/>
    <col min="12801" max="12801" width="1.5" style="1" customWidth="1"/>
    <col min="12802" max="12802" width="2.125" style="1" customWidth="1"/>
    <col min="12803" max="12803" width="2.5" style="1" customWidth="1"/>
    <col min="12804" max="12804" width="1.625" style="1" customWidth="1"/>
    <col min="12805" max="12805" width="6.625" style="1" customWidth="1"/>
    <col min="12806" max="12806" width="6.5" style="1" customWidth="1"/>
    <col min="12807" max="12807" width="1.75" style="1" customWidth="1"/>
    <col min="12808" max="12808" width="10.25" style="1" customWidth="1"/>
    <col min="12809" max="12810" width="1.5" style="1" customWidth="1"/>
    <col min="12811" max="12811" width="10.75" style="1" customWidth="1"/>
    <col min="12812" max="12812" width="1.5" style="1" customWidth="1"/>
    <col min="12813" max="12814" width="9.875" style="1" customWidth="1"/>
    <col min="12815" max="12817" width="9.625" style="1" customWidth="1"/>
    <col min="12818" max="12818" width="10" style="1" customWidth="1"/>
    <col min="12819" max="12821" width="10.25" style="1" customWidth="1"/>
    <col min="12822" max="13056" width="9" style="1"/>
    <col min="13057" max="13057" width="1.5" style="1" customWidth="1"/>
    <col min="13058" max="13058" width="2.125" style="1" customWidth="1"/>
    <col min="13059" max="13059" width="2.5" style="1" customWidth="1"/>
    <col min="13060" max="13060" width="1.625" style="1" customWidth="1"/>
    <col min="13061" max="13061" width="6.625" style="1" customWidth="1"/>
    <col min="13062" max="13062" width="6.5" style="1" customWidth="1"/>
    <col min="13063" max="13063" width="1.75" style="1" customWidth="1"/>
    <col min="13064" max="13064" width="10.25" style="1" customWidth="1"/>
    <col min="13065" max="13066" width="1.5" style="1" customWidth="1"/>
    <col min="13067" max="13067" width="10.75" style="1" customWidth="1"/>
    <col min="13068" max="13068" width="1.5" style="1" customWidth="1"/>
    <col min="13069" max="13070" width="9.875" style="1" customWidth="1"/>
    <col min="13071" max="13073" width="9.625" style="1" customWidth="1"/>
    <col min="13074" max="13074" width="10" style="1" customWidth="1"/>
    <col min="13075" max="13077" width="10.25" style="1" customWidth="1"/>
    <col min="13078" max="13312" width="9" style="1"/>
    <col min="13313" max="13313" width="1.5" style="1" customWidth="1"/>
    <col min="13314" max="13314" width="2.125" style="1" customWidth="1"/>
    <col min="13315" max="13315" width="2.5" style="1" customWidth="1"/>
    <col min="13316" max="13316" width="1.625" style="1" customWidth="1"/>
    <col min="13317" max="13317" width="6.625" style="1" customWidth="1"/>
    <col min="13318" max="13318" width="6.5" style="1" customWidth="1"/>
    <col min="13319" max="13319" width="1.75" style="1" customWidth="1"/>
    <col min="13320" max="13320" width="10.25" style="1" customWidth="1"/>
    <col min="13321" max="13322" width="1.5" style="1" customWidth="1"/>
    <col min="13323" max="13323" width="10.75" style="1" customWidth="1"/>
    <col min="13324" max="13324" width="1.5" style="1" customWidth="1"/>
    <col min="13325" max="13326" width="9.875" style="1" customWidth="1"/>
    <col min="13327" max="13329" width="9.625" style="1" customWidth="1"/>
    <col min="13330" max="13330" width="10" style="1" customWidth="1"/>
    <col min="13331" max="13333" width="10.25" style="1" customWidth="1"/>
    <col min="13334" max="13568" width="9" style="1"/>
    <col min="13569" max="13569" width="1.5" style="1" customWidth="1"/>
    <col min="13570" max="13570" width="2.125" style="1" customWidth="1"/>
    <col min="13571" max="13571" width="2.5" style="1" customWidth="1"/>
    <col min="13572" max="13572" width="1.625" style="1" customWidth="1"/>
    <col min="13573" max="13573" width="6.625" style="1" customWidth="1"/>
    <col min="13574" max="13574" width="6.5" style="1" customWidth="1"/>
    <col min="13575" max="13575" width="1.75" style="1" customWidth="1"/>
    <col min="13576" max="13576" width="10.25" style="1" customWidth="1"/>
    <col min="13577" max="13578" width="1.5" style="1" customWidth="1"/>
    <col min="13579" max="13579" width="10.75" style="1" customWidth="1"/>
    <col min="13580" max="13580" width="1.5" style="1" customWidth="1"/>
    <col min="13581" max="13582" width="9.875" style="1" customWidth="1"/>
    <col min="13583" max="13585" width="9.625" style="1" customWidth="1"/>
    <col min="13586" max="13586" width="10" style="1" customWidth="1"/>
    <col min="13587" max="13589" width="10.25" style="1" customWidth="1"/>
    <col min="13590" max="13824" width="9" style="1"/>
    <col min="13825" max="13825" width="1.5" style="1" customWidth="1"/>
    <col min="13826" max="13826" width="2.125" style="1" customWidth="1"/>
    <col min="13827" max="13827" width="2.5" style="1" customWidth="1"/>
    <col min="13828" max="13828" width="1.625" style="1" customWidth="1"/>
    <col min="13829" max="13829" width="6.625" style="1" customWidth="1"/>
    <col min="13830" max="13830" width="6.5" style="1" customWidth="1"/>
    <col min="13831" max="13831" width="1.75" style="1" customWidth="1"/>
    <col min="13832" max="13832" width="10.25" style="1" customWidth="1"/>
    <col min="13833" max="13834" width="1.5" style="1" customWidth="1"/>
    <col min="13835" max="13835" width="10.75" style="1" customWidth="1"/>
    <col min="13836" max="13836" width="1.5" style="1" customWidth="1"/>
    <col min="13837" max="13838" width="9.875" style="1" customWidth="1"/>
    <col min="13839" max="13841" width="9.625" style="1" customWidth="1"/>
    <col min="13842" max="13842" width="10" style="1" customWidth="1"/>
    <col min="13843" max="13845" width="10.25" style="1" customWidth="1"/>
    <col min="13846" max="14080" width="9" style="1"/>
    <col min="14081" max="14081" width="1.5" style="1" customWidth="1"/>
    <col min="14082" max="14082" width="2.125" style="1" customWidth="1"/>
    <col min="14083" max="14083" width="2.5" style="1" customWidth="1"/>
    <col min="14084" max="14084" width="1.625" style="1" customWidth="1"/>
    <col min="14085" max="14085" width="6.625" style="1" customWidth="1"/>
    <col min="14086" max="14086" width="6.5" style="1" customWidth="1"/>
    <col min="14087" max="14087" width="1.75" style="1" customWidth="1"/>
    <col min="14088" max="14088" width="10.25" style="1" customWidth="1"/>
    <col min="14089" max="14090" width="1.5" style="1" customWidth="1"/>
    <col min="14091" max="14091" width="10.75" style="1" customWidth="1"/>
    <col min="14092" max="14092" width="1.5" style="1" customWidth="1"/>
    <col min="14093" max="14094" width="9.875" style="1" customWidth="1"/>
    <col min="14095" max="14097" width="9.625" style="1" customWidth="1"/>
    <col min="14098" max="14098" width="10" style="1" customWidth="1"/>
    <col min="14099" max="14101" width="10.25" style="1" customWidth="1"/>
    <col min="14102" max="14336" width="9" style="1"/>
    <col min="14337" max="14337" width="1.5" style="1" customWidth="1"/>
    <col min="14338" max="14338" width="2.125" style="1" customWidth="1"/>
    <col min="14339" max="14339" width="2.5" style="1" customWidth="1"/>
    <col min="14340" max="14340" width="1.625" style="1" customWidth="1"/>
    <col min="14341" max="14341" width="6.625" style="1" customWidth="1"/>
    <col min="14342" max="14342" width="6.5" style="1" customWidth="1"/>
    <col min="14343" max="14343" width="1.75" style="1" customWidth="1"/>
    <col min="14344" max="14344" width="10.25" style="1" customWidth="1"/>
    <col min="14345" max="14346" width="1.5" style="1" customWidth="1"/>
    <col min="14347" max="14347" width="10.75" style="1" customWidth="1"/>
    <col min="14348" max="14348" width="1.5" style="1" customWidth="1"/>
    <col min="14349" max="14350" width="9.875" style="1" customWidth="1"/>
    <col min="14351" max="14353" width="9.625" style="1" customWidth="1"/>
    <col min="14354" max="14354" width="10" style="1" customWidth="1"/>
    <col min="14355" max="14357" width="10.25" style="1" customWidth="1"/>
    <col min="14358" max="14592" width="9" style="1"/>
    <col min="14593" max="14593" width="1.5" style="1" customWidth="1"/>
    <col min="14594" max="14594" width="2.125" style="1" customWidth="1"/>
    <col min="14595" max="14595" width="2.5" style="1" customWidth="1"/>
    <col min="14596" max="14596" width="1.625" style="1" customWidth="1"/>
    <col min="14597" max="14597" width="6.625" style="1" customWidth="1"/>
    <col min="14598" max="14598" width="6.5" style="1" customWidth="1"/>
    <col min="14599" max="14599" width="1.75" style="1" customWidth="1"/>
    <col min="14600" max="14600" width="10.25" style="1" customWidth="1"/>
    <col min="14601" max="14602" width="1.5" style="1" customWidth="1"/>
    <col min="14603" max="14603" width="10.75" style="1" customWidth="1"/>
    <col min="14604" max="14604" width="1.5" style="1" customWidth="1"/>
    <col min="14605" max="14606" width="9.875" style="1" customWidth="1"/>
    <col min="14607" max="14609" width="9.625" style="1" customWidth="1"/>
    <col min="14610" max="14610" width="10" style="1" customWidth="1"/>
    <col min="14611" max="14613" width="10.25" style="1" customWidth="1"/>
    <col min="14614" max="14848" width="9" style="1"/>
    <col min="14849" max="14849" width="1.5" style="1" customWidth="1"/>
    <col min="14850" max="14850" width="2.125" style="1" customWidth="1"/>
    <col min="14851" max="14851" width="2.5" style="1" customWidth="1"/>
    <col min="14852" max="14852" width="1.625" style="1" customWidth="1"/>
    <col min="14853" max="14853" width="6.625" style="1" customWidth="1"/>
    <col min="14854" max="14854" width="6.5" style="1" customWidth="1"/>
    <col min="14855" max="14855" width="1.75" style="1" customWidth="1"/>
    <col min="14856" max="14856" width="10.25" style="1" customWidth="1"/>
    <col min="14857" max="14858" width="1.5" style="1" customWidth="1"/>
    <col min="14859" max="14859" width="10.75" style="1" customWidth="1"/>
    <col min="14860" max="14860" width="1.5" style="1" customWidth="1"/>
    <col min="14861" max="14862" width="9.875" style="1" customWidth="1"/>
    <col min="14863" max="14865" width="9.625" style="1" customWidth="1"/>
    <col min="14866" max="14866" width="10" style="1" customWidth="1"/>
    <col min="14867" max="14869" width="10.25" style="1" customWidth="1"/>
    <col min="14870" max="15104" width="9" style="1"/>
    <col min="15105" max="15105" width="1.5" style="1" customWidth="1"/>
    <col min="15106" max="15106" width="2.125" style="1" customWidth="1"/>
    <col min="15107" max="15107" width="2.5" style="1" customWidth="1"/>
    <col min="15108" max="15108" width="1.625" style="1" customWidth="1"/>
    <col min="15109" max="15109" width="6.625" style="1" customWidth="1"/>
    <col min="15110" max="15110" width="6.5" style="1" customWidth="1"/>
    <col min="15111" max="15111" width="1.75" style="1" customWidth="1"/>
    <col min="15112" max="15112" width="10.25" style="1" customWidth="1"/>
    <col min="15113" max="15114" width="1.5" style="1" customWidth="1"/>
    <col min="15115" max="15115" width="10.75" style="1" customWidth="1"/>
    <col min="15116" max="15116" width="1.5" style="1" customWidth="1"/>
    <col min="15117" max="15118" width="9.875" style="1" customWidth="1"/>
    <col min="15119" max="15121" width="9.625" style="1" customWidth="1"/>
    <col min="15122" max="15122" width="10" style="1" customWidth="1"/>
    <col min="15123" max="15125" width="10.25" style="1" customWidth="1"/>
    <col min="15126" max="15360" width="9" style="1"/>
    <col min="15361" max="15361" width="1.5" style="1" customWidth="1"/>
    <col min="15362" max="15362" width="2.125" style="1" customWidth="1"/>
    <col min="15363" max="15363" width="2.5" style="1" customWidth="1"/>
    <col min="15364" max="15364" width="1.625" style="1" customWidth="1"/>
    <col min="15365" max="15365" width="6.625" style="1" customWidth="1"/>
    <col min="15366" max="15366" width="6.5" style="1" customWidth="1"/>
    <col min="15367" max="15367" width="1.75" style="1" customWidth="1"/>
    <col min="15368" max="15368" width="10.25" style="1" customWidth="1"/>
    <col min="15369" max="15370" width="1.5" style="1" customWidth="1"/>
    <col min="15371" max="15371" width="10.75" style="1" customWidth="1"/>
    <col min="15372" max="15372" width="1.5" style="1" customWidth="1"/>
    <col min="15373" max="15374" width="9.875" style="1" customWidth="1"/>
    <col min="15375" max="15377" width="9.625" style="1" customWidth="1"/>
    <col min="15378" max="15378" width="10" style="1" customWidth="1"/>
    <col min="15379" max="15381" width="10.25" style="1" customWidth="1"/>
    <col min="15382" max="15616" width="9" style="1"/>
    <col min="15617" max="15617" width="1.5" style="1" customWidth="1"/>
    <col min="15618" max="15618" width="2.125" style="1" customWidth="1"/>
    <col min="15619" max="15619" width="2.5" style="1" customWidth="1"/>
    <col min="15620" max="15620" width="1.625" style="1" customWidth="1"/>
    <col min="15621" max="15621" width="6.625" style="1" customWidth="1"/>
    <col min="15622" max="15622" width="6.5" style="1" customWidth="1"/>
    <col min="15623" max="15623" width="1.75" style="1" customWidth="1"/>
    <col min="15624" max="15624" width="10.25" style="1" customWidth="1"/>
    <col min="15625" max="15626" width="1.5" style="1" customWidth="1"/>
    <col min="15627" max="15627" width="10.75" style="1" customWidth="1"/>
    <col min="15628" max="15628" width="1.5" style="1" customWidth="1"/>
    <col min="15629" max="15630" width="9.875" style="1" customWidth="1"/>
    <col min="15631" max="15633" width="9.625" style="1" customWidth="1"/>
    <col min="15634" max="15634" width="10" style="1" customWidth="1"/>
    <col min="15635" max="15637" width="10.25" style="1" customWidth="1"/>
    <col min="15638" max="15872" width="9" style="1"/>
    <col min="15873" max="15873" width="1.5" style="1" customWidth="1"/>
    <col min="15874" max="15874" width="2.125" style="1" customWidth="1"/>
    <col min="15875" max="15875" width="2.5" style="1" customWidth="1"/>
    <col min="15876" max="15876" width="1.625" style="1" customWidth="1"/>
    <col min="15877" max="15877" width="6.625" style="1" customWidth="1"/>
    <col min="15878" max="15878" width="6.5" style="1" customWidth="1"/>
    <col min="15879" max="15879" width="1.75" style="1" customWidth="1"/>
    <col min="15880" max="15880" width="10.25" style="1" customWidth="1"/>
    <col min="15881" max="15882" width="1.5" style="1" customWidth="1"/>
    <col min="15883" max="15883" width="10.75" style="1" customWidth="1"/>
    <col min="15884" max="15884" width="1.5" style="1" customWidth="1"/>
    <col min="15885" max="15886" width="9.875" style="1" customWidth="1"/>
    <col min="15887" max="15889" width="9.625" style="1" customWidth="1"/>
    <col min="15890" max="15890" width="10" style="1" customWidth="1"/>
    <col min="15891" max="15893" width="10.25" style="1" customWidth="1"/>
    <col min="15894" max="16128" width="9" style="1"/>
    <col min="16129" max="16129" width="1.5" style="1" customWidth="1"/>
    <col min="16130" max="16130" width="2.125" style="1" customWidth="1"/>
    <col min="16131" max="16131" width="2.5" style="1" customWidth="1"/>
    <col min="16132" max="16132" width="1.625" style="1" customWidth="1"/>
    <col min="16133" max="16133" width="6.625" style="1" customWidth="1"/>
    <col min="16134" max="16134" width="6.5" style="1" customWidth="1"/>
    <col min="16135" max="16135" width="1.75" style="1" customWidth="1"/>
    <col min="16136" max="16136" width="10.25" style="1" customWidth="1"/>
    <col min="16137" max="16138" width="1.5" style="1" customWidth="1"/>
    <col min="16139" max="16139" width="10.75" style="1" customWidth="1"/>
    <col min="16140" max="16140" width="1.5" style="1" customWidth="1"/>
    <col min="16141" max="16142" width="9.875" style="1" customWidth="1"/>
    <col min="16143" max="16145" width="9.625" style="1" customWidth="1"/>
    <col min="16146" max="16146" width="10" style="1" customWidth="1"/>
    <col min="16147" max="16149" width="10.25" style="1" customWidth="1"/>
    <col min="16150" max="16384" width="9" style="1"/>
  </cols>
  <sheetData>
    <row r="1" spans="1:23" x14ac:dyDescent="0.15">
      <c r="U1" s="5"/>
    </row>
    <row r="2" spans="1:23" ht="27.75" customHeight="1" x14ac:dyDescent="0.15">
      <c r="A2" s="346" t="s">
        <v>229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</row>
    <row r="3" spans="1:23" ht="18" customHeight="1" x14ac:dyDescent="0.15">
      <c r="A3" s="347" t="s">
        <v>230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</row>
    <row r="4" spans="1:23" ht="15" customHeight="1" thickBot="1" x14ac:dyDescent="0.2">
      <c r="A4" s="348"/>
      <c r="B4" s="349"/>
      <c r="C4" s="349"/>
      <c r="D4" s="349"/>
      <c r="E4" s="349"/>
      <c r="F4" s="349"/>
      <c r="G4" s="349"/>
      <c r="H4" s="1"/>
      <c r="I4" s="1"/>
      <c r="J4" s="1"/>
      <c r="K4" s="1"/>
      <c r="L4" s="1"/>
      <c r="M4" s="6"/>
      <c r="N4" s="6"/>
      <c r="O4" s="6"/>
      <c r="P4" s="6"/>
      <c r="Q4" s="6"/>
      <c r="R4" s="6"/>
      <c r="S4" s="6"/>
      <c r="T4" s="6"/>
      <c r="U4" s="7" t="s">
        <v>0</v>
      </c>
      <c r="V4" s="8"/>
    </row>
    <row r="5" spans="1:23" ht="14.25" customHeight="1" x14ac:dyDescent="0.15">
      <c r="A5" s="350" t="s">
        <v>1</v>
      </c>
      <c r="B5" s="351"/>
      <c r="C5" s="351"/>
      <c r="D5" s="351"/>
      <c r="E5" s="351"/>
      <c r="F5" s="352"/>
      <c r="G5" s="356" t="s">
        <v>2</v>
      </c>
      <c r="H5" s="351"/>
      <c r="I5" s="352"/>
      <c r="J5" s="356" t="s">
        <v>3</v>
      </c>
      <c r="K5" s="351"/>
      <c r="L5" s="351"/>
      <c r="M5" s="358" t="s">
        <v>4</v>
      </c>
      <c r="N5" s="359"/>
      <c r="O5" s="359"/>
      <c r="P5" s="359"/>
      <c r="Q5" s="359"/>
      <c r="R5" s="360"/>
      <c r="S5" s="361" t="s">
        <v>5</v>
      </c>
      <c r="T5" s="361"/>
      <c r="U5" s="362" t="s">
        <v>6</v>
      </c>
    </row>
    <row r="6" spans="1:23" ht="14.25" customHeight="1" thickBot="1" x14ac:dyDescent="0.2">
      <c r="A6" s="353"/>
      <c r="B6" s="354"/>
      <c r="C6" s="354"/>
      <c r="D6" s="354"/>
      <c r="E6" s="354"/>
      <c r="F6" s="355"/>
      <c r="G6" s="357"/>
      <c r="H6" s="354"/>
      <c r="I6" s="355"/>
      <c r="J6" s="357"/>
      <c r="K6" s="354"/>
      <c r="L6" s="354"/>
      <c r="M6" s="9" t="s">
        <v>7</v>
      </c>
      <c r="N6" s="10" t="s">
        <v>8</v>
      </c>
      <c r="O6" s="11" t="s">
        <v>9</v>
      </c>
      <c r="P6" s="12" t="s">
        <v>10</v>
      </c>
      <c r="Q6" s="10" t="s">
        <v>11</v>
      </c>
      <c r="R6" s="13" t="s">
        <v>12</v>
      </c>
      <c r="S6" s="14" t="s">
        <v>13</v>
      </c>
      <c r="T6" s="14" t="s">
        <v>14</v>
      </c>
      <c r="U6" s="363"/>
    </row>
    <row r="7" spans="1:23" ht="18" customHeight="1" x14ac:dyDescent="0.15">
      <c r="A7" s="369" t="s">
        <v>173</v>
      </c>
      <c r="B7" s="370"/>
      <c r="C7" s="370"/>
      <c r="D7" s="370"/>
      <c r="E7" s="370"/>
      <c r="F7" s="371"/>
      <c r="G7" s="15"/>
      <c r="H7" s="16"/>
      <c r="I7" s="17"/>
      <c r="J7" s="15"/>
      <c r="K7" s="16"/>
      <c r="L7" s="17"/>
      <c r="M7" s="18"/>
      <c r="N7" s="19"/>
      <c r="O7" s="16"/>
      <c r="P7" s="20"/>
      <c r="Q7" s="19"/>
      <c r="R7" s="21"/>
      <c r="S7" s="22"/>
      <c r="T7" s="22"/>
      <c r="U7" s="23"/>
      <c r="V7" s="171">
        <f>M7+N7+O7+P7+Q7+R7</f>
        <v>0</v>
      </c>
    </row>
    <row r="8" spans="1:23" ht="18" customHeight="1" x14ac:dyDescent="0.15">
      <c r="A8" s="24"/>
      <c r="B8" s="25" t="s">
        <v>16</v>
      </c>
      <c r="C8" s="26"/>
      <c r="D8" s="27"/>
      <c r="E8" s="28"/>
      <c r="F8" s="25"/>
      <c r="G8" s="29"/>
      <c r="H8" s="30"/>
      <c r="I8" s="31"/>
      <c r="J8" s="29"/>
      <c r="K8" s="30"/>
      <c r="L8" s="31"/>
      <c r="M8" s="32"/>
      <c r="N8" s="33"/>
      <c r="O8" s="30"/>
      <c r="P8" s="34"/>
      <c r="Q8" s="33"/>
      <c r="R8" s="35"/>
      <c r="S8" s="36"/>
      <c r="T8" s="36"/>
      <c r="U8" s="37"/>
      <c r="V8" s="171">
        <f t="shared" ref="V8:V74" si="0">M8+N8+O8+P8+Q8+R8</f>
        <v>0</v>
      </c>
    </row>
    <row r="9" spans="1:23" ht="18" customHeight="1" x14ac:dyDescent="0.15">
      <c r="A9" s="24"/>
      <c r="B9" s="25" t="s">
        <v>17</v>
      </c>
      <c r="C9" s="38"/>
      <c r="D9" s="27"/>
      <c r="E9" s="25"/>
      <c r="F9" s="25"/>
      <c r="G9" s="29"/>
      <c r="H9" s="30"/>
      <c r="I9" s="31"/>
      <c r="J9" s="29"/>
      <c r="K9" s="30"/>
      <c r="L9" s="31"/>
      <c r="M9" s="32"/>
      <c r="N9" s="33"/>
      <c r="O9" s="30"/>
      <c r="P9" s="34"/>
      <c r="Q9" s="33"/>
      <c r="R9" s="35"/>
      <c r="S9" s="36"/>
      <c r="T9" s="36"/>
      <c r="U9" s="37"/>
      <c r="V9" s="171">
        <f t="shared" si="0"/>
        <v>0</v>
      </c>
    </row>
    <row r="10" spans="1:23" ht="18" customHeight="1" x14ac:dyDescent="0.15">
      <c r="A10" s="39"/>
      <c r="B10" s="40" t="s">
        <v>18</v>
      </c>
      <c r="C10" s="41"/>
      <c r="D10" s="42"/>
      <c r="E10" s="43"/>
      <c r="F10" s="40"/>
      <c r="G10" s="29" t="s">
        <v>19</v>
      </c>
      <c r="H10" s="30">
        <v>1000</v>
      </c>
      <c r="I10" s="31" t="s">
        <v>20</v>
      </c>
      <c r="J10" s="29" t="s">
        <v>21</v>
      </c>
      <c r="K10" s="44">
        <f>K11</f>
        <v>1000</v>
      </c>
      <c r="L10" s="31" t="s">
        <v>22</v>
      </c>
      <c r="M10" s="32"/>
      <c r="N10" s="33"/>
      <c r="O10" s="30"/>
      <c r="P10" s="34"/>
      <c r="Q10" s="33"/>
      <c r="R10" s="45"/>
      <c r="S10" s="46"/>
      <c r="T10" s="46"/>
      <c r="U10" s="47"/>
      <c r="V10" s="171">
        <f t="shared" si="0"/>
        <v>0</v>
      </c>
    </row>
    <row r="11" spans="1:23" ht="18" customHeight="1" x14ac:dyDescent="0.15">
      <c r="A11" s="39"/>
      <c r="B11" s="48"/>
      <c r="C11" s="40" t="s">
        <v>23</v>
      </c>
      <c r="D11" s="42"/>
      <c r="E11" s="40"/>
      <c r="G11" s="49"/>
      <c r="H11" s="44">
        <v>1000</v>
      </c>
      <c r="I11" s="50"/>
      <c r="J11" s="49"/>
      <c r="K11" s="30">
        <f>SUM(M11:U11)</f>
        <v>1000</v>
      </c>
      <c r="L11" s="50"/>
      <c r="M11" s="51">
        <v>238</v>
      </c>
      <c r="N11" s="52">
        <v>398</v>
      </c>
      <c r="O11" s="44">
        <v>60</v>
      </c>
      <c r="P11" s="53">
        <v>128</v>
      </c>
      <c r="Q11" s="52">
        <v>176</v>
      </c>
      <c r="R11" s="45"/>
      <c r="S11" s="46"/>
      <c r="T11" s="46"/>
      <c r="U11" s="47"/>
      <c r="V11" s="171">
        <f t="shared" si="0"/>
        <v>1000</v>
      </c>
      <c r="W11" s="171"/>
    </row>
    <row r="12" spans="1:23" ht="18" customHeight="1" x14ac:dyDescent="0.15">
      <c r="A12" s="39"/>
      <c r="B12" s="40" t="s">
        <v>24</v>
      </c>
      <c r="C12" s="48"/>
      <c r="D12" s="42"/>
      <c r="F12" s="40"/>
      <c r="G12" s="29" t="s">
        <v>19</v>
      </c>
      <c r="H12" s="30">
        <v>1000</v>
      </c>
      <c r="I12" s="31" t="s">
        <v>20</v>
      </c>
      <c r="J12" s="29" t="s">
        <v>21</v>
      </c>
      <c r="K12" s="30">
        <f>K13</f>
        <v>1000</v>
      </c>
      <c r="L12" s="31" t="s">
        <v>22</v>
      </c>
      <c r="M12" s="32"/>
      <c r="N12" s="33"/>
      <c r="O12" s="30"/>
      <c r="P12" s="34"/>
      <c r="Q12" s="33"/>
      <c r="R12" s="45"/>
      <c r="S12" s="46"/>
      <c r="T12" s="46"/>
      <c r="U12" s="47"/>
      <c r="V12" s="171">
        <f t="shared" si="0"/>
        <v>0</v>
      </c>
      <c r="W12" s="171"/>
    </row>
    <row r="13" spans="1:23" ht="18" customHeight="1" x14ac:dyDescent="0.15">
      <c r="A13" s="54"/>
      <c r="B13" s="55"/>
      <c r="C13" s="56" t="s">
        <v>79</v>
      </c>
      <c r="D13" s="57"/>
      <c r="E13" s="56"/>
      <c r="G13" s="29"/>
      <c r="H13" s="30">
        <v>1000</v>
      </c>
      <c r="I13" s="31"/>
      <c r="J13" s="29"/>
      <c r="K13" s="30">
        <f>SUM(M13:U13)</f>
        <v>1000</v>
      </c>
      <c r="L13" s="31"/>
      <c r="M13" s="32"/>
      <c r="N13" s="33"/>
      <c r="O13" s="30"/>
      <c r="P13" s="34"/>
      <c r="Q13" s="33"/>
      <c r="R13" s="45"/>
      <c r="S13" s="46"/>
      <c r="T13" s="46"/>
      <c r="U13" s="47">
        <v>1000</v>
      </c>
      <c r="V13" s="171">
        <f t="shared" si="0"/>
        <v>0</v>
      </c>
      <c r="W13" s="171"/>
    </row>
    <row r="14" spans="1:23" ht="18" customHeight="1" x14ac:dyDescent="0.15">
      <c r="A14" s="39"/>
      <c r="B14" s="40" t="s">
        <v>25</v>
      </c>
      <c r="C14" s="40"/>
      <c r="D14" s="42"/>
      <c r="E14" s="40"/>
      <c r="F14" s="40"/>
      <c r="G14" s="29" t="s">
        <v>19</v>
      </c>
      <c r="H14" s="30">
        <v>38000000</v>
      </c>
      <c r="I14" s="31" t="s">
        <v>20</v>
      </c>
      <c r="J14" s="29" t="s">
        <v>21</v>
      </c>
      <c r="K14" s="30">
        <f>K15</f>
        <v>38000000</v>
      </c>
      <c r="L14" s="31" t="s">
        <v>22</v>
      </c>
      <c r="M14" s="32"/>
      <c r="N14" s="33"/>
      <c r="O14" s="30"/>
      <c r="P14" s="34"/>
      <c r="Q14" s="33"/>
      <c r="R14" s="45"/>
      <c r="S14" s="46"/>
      <c r="T14" s="46"/>
      <c r="U14" s="47"/>
      <c r="V14" s="171">
        <f t="shared" si="0"/>
        <v>0</v>
      </c>
      <c r="W14" s="171"/>
    </row>
    <row r="15" spans="1:23" ht="18" customHeight="1" x14ac:dyDescent="0.15">
      <c r="A15" s="39"/>
      <c r="B15" s="40"/>
      <c r="C15" s="40" t="s">
        <v>26</v>
      </c>
      <c r="D15" s="42"/>
      <c r="E15" s="40"/>
      <c r="F15" s="40"/>
      <c r="G15" s="29"/>
      <c r="H15" s="30">
        <v>38000000</v>
      </c>
      <c r="I15" s="31"/>
      <c r="J15" s="29"/>
      <c r="K15" s="30">
        <f>M15+N15+O15+P15+Q15+R15+S15+T15+U15</f>
        <v>38000000</v>
      </c>
      <c r="L15" s="31"/>
      <c r="M15" s="32">
        <v>4807000</v>
      </c>
      <c r="N15" s="33">
        <v>9367000</v>
      </c>
      <c r="O15" s="30">
        <v>1140000</v>
      </c>
      <c r="P15" s="34">
        <v>2907000</v>
      </c>
      <c r="Q15" s="33">
        <v>779000</v>
      </c>
      <c r="R15" s="45"/>
      <c r="S15" s="46"/>
      <c r="T15" s="46">
        <v>11400000</v>
      </c>
      <c r="U15" s="47">
        <v>7600000</v>
      </c>
      <c r="V15" s="171">
        <f t="shared" si="0"/>
        <v>19000000</v>
      </c>
      <c r="W15" s="306"/>
    </row>
    <row r="16" spans="1:23" ht="18" customHeight="1" x14ac:dyDescent="0.15">
      <c r="A16" s="39"/>
      <c r="B16" s="40" t="s">
        <v>27</v>
      </c>
      <c r="C16" s="40"/>
      <c r="D16" s="42"/>
      <c r="E16" s="40"/>
      <c r="F16" s="40"/>
      <c r="G16" s="29" t="s">
        <v>19</v>
      </c>
      <c r="H16" s="30">
        <v>16586500</v>
      </c>
      <c r="I16" s="31" t="s">
        <v>20</v>
      </c>
      <c r="J16" s="29" t="s">
        <v>21</v>
      </c>
      <c r="K16" s="30">
        <f>SUM(K17:K21)</f>
        <v>16586500</v>
      </c>
      <c r="L16" s="31" t="s">
        <v>22</v>
      </c>
      <c r="M16" s="32"/>
      <c r="N16" s="33"/>
      <c r="O16" s="30"/>
      <c r="P16" s="34"/>
      <c r="Q16" s="33"/>
      <c r="R16" s="45"/>
      <c r="S16" s="46"/>
      <c r="T16" s="46"/>
      <c r="U16" s="47"/>
      <c r="V16" s="171">
        <f t="shared" si="0"/>
        <v>0</v>
      </c>
      <c r="W16" s="171"/>
    </row>
    <row r="17" spans="1:24" ht="18" customHeight="1" x14ac:dyDescent="0.15">
      <c r="A17" s="58"/>
      <c r="B17" s="40"/>
      <c r="C17" s="40" t="s">
        <v>28</v>
      </c>
      <c r="D17" s="42"/>
      <c r="E17" s="40"/>
      <c r="F17" s="40"/>
      <c r="G17" s="29"/>
      <c r="H17" s="30">
        <v>2517000</v>
      </c>
      <c r="I17" s="31"/>
      <c r="J17" s="29"/>
      <c r="K17" s="30">
        <v>2517000</v>
      </c>
      <c r="L17" s="31"/>
      <c r="M17" s="32">
        <v>280000</v>
      </c>
      <c r="N17" s="33">
        <v>1968000</v>
      </c>
      <c r="O17" s="30">
        <v>140000</v>
      </c>
      <c r="P17" s="34"/>
      <c r="Q17" s="33"/>
      <c r="R17" s="45"/>
      <c r="S17" s="46"/>
      <c r="T17" s="46"/>
      <c r="U17" s="47"/>
      <c r="V17" s="171">
        <f t="shared" si="0"/>
        <v>2388000</v>
      </c>
      <c r="W17" s="171"/>
    </row>
    <row r="18" spans="1:24" ht="18" customHeight="1" x14ac:dyDescent="0.15">
      <c r="A18" s="39"/>
      <c r="B18" s="48"/>
      <c r="C18" s="40" t="s">
        <v>29</v>
      </c>
      <c r="D18" s="42"/>
      <c r="E18" s="40"/>
      <c r="F18" s="40"/>
      <c r="G18" s="29"/>
      <c r="H18" s="30">
        <v>150000</v>
      </c>
      <c r="I18" s="31"/>
      <c r="J18" s="29"/>
      <c r="K18" s="30">
        <v>150000</v>
      </c>
      <c r="L18" s="31"/>
      <c r="M18" s="32"/>
      <c r="N18" s="33"/>
      <c r="O18" s="30"/>
      <c r="P18" s="34">
        <v>210000</v>
      </c>
      <c r="Q18" s="33"/>
      <c r="R18" s="45"/>
      <c r="S18" s="46"/>
      <c r="T18" s="46"/>
      <c r="U18" s="47"/>
      <c r="V18" s="171">
        <f t="shared" si="0"/>
        <v>210000</v>
      </c>
      <c r="W18" s="171"/>
    </row>
    <row r="19" spans="1:24" ht="18" customHeight="1" x14ac:dyDescent="0.15">
      <c r="A19" s="39"/>
      <c r="B19" s="48"/>
      <c r="C19" s="40" t="s">
        <v>30</v>
      </c>
      <c r="D19" s="42"/>
      <c r="E19" s="40"/>
      <c r="F19" s="40"/>
      <c r="G19" s="29"/>
      <c r="H19" s="30">
        <v>2670000</v>
      </c>
      <c r="I19" s="31"/>
      <c r="J19" s="29"/>
      <c r="K19" s="30">
        <v>2670000</v>
      </c>
      <c r="L19" s="31"/>
      <c r="M19" s="32"/>
      <c r="N19" s="33"/>
      <c r="O19" s="30"/>
      <c r="P19" s="34"/>
      <c r="Q19" s="33">
        <v>3979000</v>
      </c>
      <c r="R19" s="45"/>
      <c r="S19" s="46"/>
      <c r="T19" s="46"/>
      <c r="U19" s="47"/>
      <c r="V19" s="171">
        <f t="shared" si="0"/>
        <v>3979000</v>
      </c>
      <c r="W19" s="171"/>
    </row>
    <row r="20" spans="1:24" ht="18" customHeight="1" x14ac:dyDescent="0.15">
      <c r="A20" s="39"/>
      <c r="B20" s="48"/>
      <c r="C20" s="40" t="s">
        <v>31</v>
      </c>
      <c r="D20" s="42"/>
      <c r="E20" s="40"/>
      <c r="F20" s="40"/>
      <c r="G20" s="29"/>
      <c r="H20" s="30">
        <v>1450000</v>
      </c>
      <c r="I20" s="31"/>
      <c r="J20" s="29"/>
      <c r="K20" s="30">
        <v>1450000</v>
      </c>
      <c r="L20" s="31"/>
      <c r="M20" s="32"/>
      <c r="N20" s="33"/>
      <c r="O20" s="30"/>
      <c r="P20" s="34"/>
      <c r="Q20" s="33"/>
      <c r="R20" s="45"/>
      <c r="S20" s="46">
        <v>1650000</v>
      </c>
      <c r="T20" s="46"/>
      <c r="U20" s="59"/>
      <c r="V20" s="171">
        <f t="shared" si="0"/>
        <v>0</v>
      </c>
      <c r="W20" s="171"/>
    </row>
    <row r="21" spans="1:24" ht="18" customHeight="1" x14ac:dyDescent="0.15">
      <c r="A21" s="39"/>
      <c r="B21" s="40"/>
      <c r="C21" s="40" t="s">
        <v>32</v>
      </c>
      <c r="D21" s="40"/>
      <c r="E21" s="40"/>
      <c r="F21" s="40"/>
      <c r="G21" s="29"/>
      <c r="H21" s="30">
        <v>9799500</v>
      </c>
      <c r="I21" s="31"/>
      <c r="J21" s="29"/>
      <c r="K21" s="30">
        <v>9799500</v>
      </c>
      <c r="L21" s="31"/>
      <c r="M21" s="32"/>
      <c r="N21" s="33"/>
      <c r="O21" s="30"/>
      <c r="P21" s="34"/>
      <c r="Q21" s="33"/>
      <c r="R21" s="45"/>
      <c r="S21" s="46"/>
      <c r="T21" s="46">
        <v>9887000</v>
      </c>
      <c r="U21" s="59"/>
      <c r="V21" s="171">
        <f t="shared" si="0"/>
        <v>0</v>
      </c>
      <c r="W21" s="171"/>
    </row>
    <row r="22" spans="1:24" ht="18" customHeight="1" x14ac:dyDescent="0.15">
      <c r="A22" s="39"/>
      <c r="B22" s="40" t="s">
        <v>33</v>
      </c>
      <c r="C22" s="40"/>
      <c r="D22" s="40"/>
      <c r="E22" s="40"/>
      <c r="F22" s="40"/>
      <c r="G22" s="29" t="s">
        <v>19</v>
      </c>
      <c r="H22" s="30">
        <v>17454100</v>
      </c>
      <c r="I22" s="31" t="s">
        <v>20</v>
      </c>
      <c r="J22" s="29" t="s">
        <v>21</v>
      </c>
      <c r="K22" s="30">
        <f>SUM(K23:K26)</f>
        <v>17454100</v>
      </c>
      <c r="L22" s="31" t="s">
        <v>22</v>
      </c>
      <c r="M22" s="32"/>
      <c r="N22" s="33"/>
      <c r="O22" s="30"/>
      <c r="P22" s="34"/>
      <c r="Q22" s="33"/>
      <c r="R22" s="45"/>
      <c r="S22" s="46"/>
      <c r="T22" s="46"/>
      <c r="U22" s="59"/>
      <c r="V22" s="171">
        <f t="shared" si="0"/>
        <v>0</v>
      </c>
      <c r="W22" s="171"/>
    </row>
    <row r="23" spans="1:24" ht="18" customHeight="1" x14ac:dyDescent="0.15">
      <c r="A23" s="39"/>
      <c r="B23" s="40"/>
      <c r="C23" s="40" t="s">
        <v>102</v>
      </c>
      <c r="D23" s="40"/>
      <c r="E23" s="40"/>
      <c r="F23" s="40"/>
      <c r="G23" s="29"/>
      <c r="H23" s="30">
        <v>16640900</v>
      </c>
      <c r="I23" s="31"/>
      <c r="J23" s="29"/>
      <c r="K23" s="30">
        <v>16640900</v>
      </c>
      <c r="L23" s="31"/>
      <c r="M23" s="32">
        <v>3797195</v>
      </c>
      <c r="N23" s="33">
        <v>6349931</v>
      </c>
      <c r="O23" s="30">
        <v>1084913</v>
      </c>
      <c r="P23" s="34">
        <v>2058143</v>
      </c>
      <c r="Q23" s="33">
        <v>2664418</v>
      </c>
      <c r="R23" s="45"/>
      <c r="S23" s="46"/>
      <c r="T23" s="46"/>
      <c r="U23" s="59"/>
      <c r="V23" s="171">
        <f t="shared" si="0"/>
        <v>15954600</v>
      </c>
      <c r="W23" s="171"/>
      <c r="X23" s="308">
        <v>15954600</v>
      </c>
    </row>
    <row r="24" spans="1:24" ht="18" customHeight="1" x14ac:dyDescent="0.15">
      <c r="A24" s="39"/>
      <c r="B24" s="40"/>
      <c r="C24" s="40" t="s">
        <v>109</v>
      </c>
      <c r="D24" s="40"/>
      <c r="E24" s="40"/>
      <c r="F24" s="40"/>
      <c r="G24" s="29"/>
      <c r="H24" s="30">
        <v>463200</v>
      </c>
      <c r="I24" s="31"/>
      <c r="J24" s="29"/>
      <c r="K24" s="30">
        <v>463200</v>
      </c>
      <c r="L24" s="31"/>
      <c r="M24" s="32"/>
      <c r="N24" s="33">
        <v>100000</v>
      </c>
      <c r="O24" s="30"/>
      <c r="P24" s="34"/>
      <c r="Q24" s="33"/>
      <c r="R24" s="45"/>
      <c r="S24" s="46"/>
      <c r="T24" s="46"/>
      <c r="U24" s="59">
        <v>350800</v>
      </c>
      <c r="V24" s="171">
        <f t="shared" si="0"/>
        <v>100000</v>
      </c>
      <c r="W24" s="171"/>
      <c r="X24" s="308">
        <v>450000</v>
      </c>
    </row>
    <row r="25" spans="1:24" ht="18" customHeight="1" x14ac:dyDescent="0.15">
      <c r="A25" s="39"/>
      <c r="B25" s="40"/>
      <c r="C25" s="372" t="s">
        <v>110</v>
      </c>
      <c r="D25" s="372"/>
      <c r="E25" s="372"/>
      <c r="F25" s="373"/>
      <c r="G25" s="29"/>
      <c r="H25" s="30">
        <v>150000</v>
      </c>
      <c r="I25" s="31"/>
      <c r="J25" s="29"/>
      <c r="K25" s="30">
        <f t="shared" ref="K25:K26" si="1">M25+N25+O25+P25+Q25+R25+S25+T25+U25</f>
        <v>150000</v>
      </c>
      <c r="L25" s="31"/>
      <c r="M25" s="32"/>
      <c r="N25" s="33"/>
      <c r="O25" s="30"/>
      <c r="P25" s="34"/>
      <c r="Q25" s="33"/>
      <c r="R25" s="45"/>
      <c r="S25" s="46"/>
      <c r="T25" s="46"/>
      <c r="U25" s="59">
        <v>150000</v>
      </c>
      <c r="V25" s="171">
        <f t="shared" si="0"/>
        <v>0</v>
      </c>
      <c r="W25" s="171"/>
      <c r="X25" s="308"/>
    </row>
    <row r="26" spans="1:24" ht="18" customHeight="1" x14ac:dyDescent="0.15">
      <c r="A26" s="39"/>
      <c r="B26" s="40"/>
      <c r="C26" s="40" t="s">
        <v>111</v>
      </c>
      <c r="D26" s="40"/>
      <c r="E26" s="40"/>
      <c r="F26" s="40"/>
      <c r="G26" s="29"/>
      <c r="H26" s="30">
        <v>200000</v>
      </c>
      <c r="I26" s="31"/>
      <c r="J26" s="29"/>
      <c r="K26" s="30">
        <f t="shared" si="1"/>
        <v>200000</v>
      </c>
      <c r="L26" s="31"/>
      <c r="M26" s="32"/>
      <c r="N26" s="33"/>
      <c r="O26" s="30"/>
      <c r="P26" s="34"/>
      <c r="Q26" s="33"/>
      <c r="R26" s="45"/>
      <c r="S26" s="46"/>
      <c r="T26" s="46"/>
      <c r="U26" s="59">
        <v>200000</v>
      </c>
      <c r="V26" s="171">
        <f t="shared" si="0"/>
        <v>0</v>
      </c>
      <c r="W26" s="171"/>
      <c r="X26" s="308"/>
    </row>
    <row r="27" spans="1:24" ht="18" customHeight="1" x14ac:dyDescent="0.15">
      <c r="A27" s="39"/>
      <c r="B27" s="40" t="s">
        <v>34</v>
      </c>
      <c r="C27" s="40"/>
      <c r="D27" s="40"/>
      <c r="E27" s="40"/>
      <c r="F27" s="40"/>
      <c r="G27" s="29" t="s">
        <v>19</v>
      </c>
      <c r="H27" s="30">
        <v>1869000</v>
      </c>
      <c r="I27" s="31" t="s">
        <v>20</v>
      </c>
      <c r="J27" s="29" t="s">
        <v>19</v>
      </c>
      <c r="K27" s="30">
        <f>SUM(K28:K29)</f>
        <v>1869000</v>
      </c>
      <c r="L27" s="31" t="s">
        <v>20</v>
      </c>
      <c r="M27" s="32"/>
      <c r="N27" s="33"/>
      <c r="O27" s="30"/>
      <c r="P27" s="34"/>
      <c r="Q27" s="33"/>
      <c r="R27" s="45"/>
      <c r="S27" s="46"/>
      <c r="T27" s="46"/>
      <c r="U27" s="59"/>
      <c r="V27" s="171">
        <f t="shared" si="0"/>
        <v>0</v>
      </c>
      <c r="W27" s="171"/>
      <c r="X27" s="308"/>
    </row>
    <row r="28" spans="1:24" ht="18" customHeight="1" x14ac:dyDescent="0.15">
      <c r="A28" s="39"/>
      <c r="B28" s="40"/>
      <c r="C28" s="40" t="s">
        <v>34</v>
      </c>
      <c r="D28" s="40"/>
      <c r="E28" s="40"/>
      <c r="F28" s="40"/>
      <c r="G28" s="29"/>
      <c r="H28" s="30">
        <v>1293000</v>
      </c>
      <c r="I28" s="31"/>
      <c r="J28" s="29"/>
      <c r="K28" s="30">
        <v>1293000</v>
      </c>
      <c r="L28" s="31"/>
      <c r="M28" s="32"/>
      <c r="N28" s="33"/>
      <c r="O28" s="30"/>
      <c r="P28" s="34"/>
      <c r="Q28" s="33"/>
      <c r="R28" s="45"/>
      <c r="S28" s="46"/>
      <c r="T28" s="46"/>
      <c r="U28" s="59">
        <v>512500</v>
      </c>
      <c r="V28" s="171">
        <f t="shared" si="0"/>
        <v>0</v>
      </c>
      <c r="W28" s="171"/>
      <c r="X28" s="308"/>
    </row>
    <row r="29" spans="1:24" ht="18" customHeight="1" x14ac:dyDescent="0.15">
      <c r="A29" s="39"/>
      <c r="B29" s="40"/>
      <c r="C29" s="40" t="s">
        <v>35</v>
      </c>
      <c r="D29" s="40"/>
      <c r="E29" s="40"/>
      <c r="F29" s="40"/>
      <c r="G29" s="29"/>
      <c r="H29" s="30">
        <v>576000</v>
      </c>
      <c r="I29" s="31"/>
      <c r="J29" s="29"/>
      <c r="K29" s="30">
        <v>576000</v>
      </c>
      <c r="L29" s="31"/>
      <c r="M29" s="32"/>
      <c r="N29" s="33"/>
      <c r="O29" s="30"/>
      <c r="P29" s="34"/>
      <c r="Q29" s="33"/>
      <c r="R29" s="45"/>
      <c r="S29" s="46"/>
      <c r="T29" s="46">
        <v>662400</v>
      </c>
      <c r="U29" s="59"/>
      <c r="V29" s="171">
        <f t="shared" si="0"/>
        <v>0</v>
      </c>
      <c r="W29" s="171"/>
      <c r="X29" s="308"/>
    </row>
    <row r="30" spans="1:24" ht="18" customHeight="1" x14ac:dyDescent="0.15">
      <c r="A30" s="39"/>
      <c r="B30" s="40" t="s">
        <v>107</v>
      </c>
      <c r="C30" s="40"/>
      <c r="D30" s="40"/>
      <c r="E30" s="40"/>
      <c r="F30" s="40"/>
      <c r="G30" s="29" t="s">
        <v>19</v>
      </c>
      <c r="H30" s="30">
        <v>0</v>
      </c>
      <c r="I30" s="31" t="s">
        <v>20</v>
      </c>
      <c r="J30" s="29" t="s">
        <v>19</v>
      </c>
      <c r="K30" s="30">
        <f>SUM(K31)</f>
        <v>0</v>
      </c>
      <c r="L30" s="31" t="s">
        <v>20</v>
      </c>
      <c r="M30" s="32"/>
      <c r="N30" s="33"/>
      <c r="O30" s="30"/>
      <c r="P30" s="34"/>
      <c r="Q30" s="33"/>
      <c r="R30" s="45"/>
      <c r="S30" s="46"/>
      <c r="T30" s="46"/>
      <c r="U30" s="59"/>
      <c r="V30" s="171">
        <f t="shared" si="0"/>
        <v>0</v>
      </c>
      <c r="W30" s="171"/>
      <c r="X30" s="308"/>
    </row>
    <row r="31" spans="1:24" ht="18" customHeight="1" x14ac:dyDescent="0.15">
      <c r="A31" s="39"/>
      <c r="B31" s="40"/>
      <c r="C31" s="40" t="s">
        <v>107</v>
      </c>
      <c r="D31" s="40"/>
      <c r="E31" s="40"/>
      <c r="F31" s="40"/>
      <c r="G31" s="29"/>
      <c r="H31" s="30">
        <v>0</v>
      </c>
      <c r="I31" s="31"/>
      <c r="J31" s="29"/>
      <c r="K31" s="30">
        <v>0</v>
      </c>
      <c r="L31" s="31"/>
      <c r="M31" s="32"/>
      <c r="N31" s="33"/>
      <c r="O31" s="30"/>
      <c r="P31" s="34"/>
      <c r="Q31" s="33"/>
      <c r="R31" s="45"/>
      <c r="S31" s="46"/>
      <c r="T31" s="46"/>
      <c r="U31" s="59"/>
      <c r="V31" s="171">
        <f t="shared" si="0"/>
        <v>0</v>
      </c>
      <c r="W31" s="171"/>
      <c r="X31" s="308"/>
    </row>
    <row r="32" spans="1:24" ht="18" customHeight="1" x14ac:dyDescent="0.15">
      <c r="A32" s="39"/>
      <c r="B32" s="40" t="s">
        <v>36</v>
      </c>
      <c r="C32" s="60"/>
      <c r="D32" s="40"/>
      <c r="E32" s="40"/>
      <c r="F32" s="40"/>
      <c r="G32" s="29" t="s">
        <v>19</v>
      </c>
      <c r="H32" s="30">
        <v>421000</v>
      </c>
      <c r="I32" s="31" t="s">
        <v>20</v>
      </c>
      <c r="J32" s="29" t="s">
        <v>21</v>
      </c>
      <c r="K32" s="30">
        <f>SUM(K33:K34)</f>
        <v>421000</v>
      </c>
      <c r="L32" s="31" t="s">
        <v>22</v>
      </c>
      <c r="M32" s="32"/>
      <c r="N32" s="33"/>
      <c r="O32" s="30"/>
      <c r="P32" s="34"/>
      <c r="Q32" s="33"/>
      <c r="R32" s="45"/>
      <c r="S32" s="46"/>
      <c r="T32" s="46"/>
      <c r="U32" s="59"/>
      <c r="V32" s="171">
        <f t="shared" si="0"/>
        <v>0</v>
      </c>
      <c r="W32" s="171"/>
      <c r="X32" s="308"/>
    </row>
    <row r="33" spans="1:24" ht="18" customHeight="1" x14ac:dyDescent="0.15">
      <c r="A33" s="39"/>
      <c r="B33" s="40"/>
      <c r="C33" s="40" t="s">
        <v>37</v>
      </c>
      <c r="D33" s="40"/>
      <c r="E33" s="40"/>
      <c r="F33" s="40"/>
      <c r="G33" s="29"/>
      <c r="H33" s="30">
        <v>1000</v>
      </c>
      <c r="I33" s="31"/>
      <c r="J33" s="29"/>
      <c r="K33" s="30">
        <f>SUM(M33:U33)</f>
        <v>1000</v>
      </c>
      <c r="L33" s="31"/>
      <c r="M33" s="32"/>
      <c r="N33" s="33"/>
      <c r="O33" s="30"/>
      <c r="P33" s="34"/>
      <c r="Q33" s="33"/>
      <c r="R33" s="45"/>
      <c r="S33" s="46"/>
      <c r="T33" s="46"/>
      <c r="U33" s="59">
        <v>1000</v>
      </c>
      <c r="V33" s="171">
        <f t="shared" si="0"/>
        <v>0</v>
      </c>
      <c r="W33" s="171"/>
      <c r="X33" s="308"/>
    </row>
    <row r="34" spans="1:24" ht="23.25" customHeight="1" x14ac:dyDescent="0.15">
      <c r="A34" s="39"/>
      <c r="B34" s="40"/>
      <c r="C34" s="40" t="s">
        <v>36</v>
      </c>
      <c r="D34" s="40"/>
      <c r="E34" s="40"/>
      <c r="F34" s="40"/>
      <c r="G34" s="29"/>
      <c r="H34" s="30">
        <v>420000</v>
      </c>
      <c r="I34" s="31"/>
      <c r="J34" s="29"/>
      <c r="K34" s="30">
        <v>420000</v>
      </c>
      <c r="L34" s="31"/>
      <c r="M34" s="32"/>
      <c r="N34" s="33"/>
      <c r="O34" s="30"/>
      <c r="P34" s="34"/>
      <c r="Q34" s="33"/>
      <c r="R34" s="45"/>
      <c r="S34" s="46"/>
      <c r="T34" s="61"/>
      <c r="U34" s="62">
        <v>750000</v>
      </c>
      <c r="V34" s="171">
        <f t="shared" si="0"/>
        <v>0</v>
      </c>
      <c r="W34" s="171"/>
    </row>
    <row r="35" spans="1:24" ht="18.75" customHeight="1" x14ac:dyDescent="0.15">
      <c r="A35" s="63"/>
      <c r="B35" s="64"/>
      <c r="C35" s="65" t="s">
        <v>38</v>
      </c>
      <c r="D35" s="64"/>
      <c r="E35" s="65"/>
      <c r="F35" s="219"/>
      <c r="G35" s="66"/>
      <c r="H35" s="67">
        <f>SUM(H10,H12,H14,H16,H22,H27,H30,H32,)</f>
        <v>74332600</v>
      </c>
      <c r="I35" s="68"/>
      <c r="J35" s="66"/>
      <c r="K35" s="67">
        <f>K10+K12+K14+K16+K22+K27+K30+K32</f>
        <v>74332600</v>
      </c>
      <c r="L35" s="68"/>
      <c r="M35" s="69">
        <f t="shared" ref="M35:U35" si="2">SUM(M10:M34)</f>
        <v>8884433</v>
      </c>
      <c r="N35" s="70">
        <f t="shared" si="2"/>
        <v>17785329</v>
      </c>
      <c r="O35" s="67">
        <f t="shared" si="2"/>
        <v>2364973</v>
      </c>
      <c r="P35" s="71">
        <f t="shared" si="2"/>
        <v>5175271</v>
      </c>
      <c r="Q35" s="70">
        <f t="shared" si="2"/>
        <v>7422594</v>
      </c>
      <c r="R35" s="72">
        <f t="shared" si="2"/>
        <v>0</v>
      </c>
      <c r="S35" s="73">
        <f t="shared" si="2"/>
        <v>1650000</v>
      </c>
      <c r="T35" s="73">
        <f t="shared" si="2"/>
        <v>21949400</v>
      </c>
      <c r="U35" s="74">
        <f t="shared" si="2"/>
        <v>9565300</v>
      </c>
      <c r="V35" s="171">
        <f t="shared" si="0"/>
        <v>41632600</v>
      </c>
      <c r="W35" s="171"/>
      <c r="X35" s="306">
        <f>SUM(S35:V35)</f>
        <v>74797300</v>
      </c>
    </row>
    <row r="36" spans="1:24" ht="18.75" customHeight="1" x14ac:dyDescent="0.15">
      <c r="A36" s="75"/>
      <c r="B36" s="28" t="s">
        <v>39</v>
      </c>
      <c r="C36" s="76"/>
      <c r="D36" s="76"/>
      <c r="G36" s="49"/>
      <c r="H36" s="44"/>
      <c r="I36" s="50"/>
      <c r="J36" s="49"/>
      <c r="K36" s="44"/>
      <c r="L36" s="50"/>
      <c r="M36" s="51"/>
      <c r="N36" s="52"/>
      <c r="O36" s="44"/>
      <c r="P36" s="53"/>
      <c r="Q36" s="52"/>
      <c r="R36" s="77"/>
      <c r="S36" s="78"/>
      <c r="T36" s="78"/>
      <c r="U36" s="79"/>
      <c r="V36" s="171">
        <f t="shared" si="0"/>
        <v>0</v>
      </c>
      <c r="W36" s="171"/>
    </row>
    <row r="37" spans="1:24" ht="18.75" customHeight="1" x14ac:dyDescent="0.15">
      <c r="A37" s="58"/>
      <c r="B37" s="40" t="s">
        <v>40</v>
      </c>
      <c r="C37" s="40"/>
      <c r="D37" s="42"/>
      <c r="E37" s="40"/>
      <c r="F37" s="40"/>
      <c r="G37" s="29" t="s">
        <v>21</v>
      </c>
      <c r="H37" s="30">
        <v>43745397</v>
      </c>
      <c r="I37" s="31" t="s">
        <v>20</v>
      </c>
      <c r="J37" s="29" t="s">
        <v>21</v>
      </c>
      <c r="K37" s="223">
        <f>SUM(K38+K51+K60+K74+K76)</f>
        <v>43745397</v>
      </c>
      <c r="L37" s="31" t="s">
        <v>22</v>
      </c>
      <c r="M37" s="32"/>
      <c r="N37" s="33"/>
      <c r="O37" s="30"/>
      <c r="P37" s="34"/>
      <c r="Q37" s="33"/>
      <c r="R37" s="45"/>
      <c r="S37" s="46"/>
      <c r="T37" s="46"/>
      <c r="U37" s="47"/>
      <c r="V37" s="171">
        <f t="shared" si="0"/>
        <v>0</v>
      </c>
      <c r="W37" s="171"/>
    </row>
    <row r="38" spans="1:24" ht="18.75" customHeight="1" x14ac:dyDescent="0.15">
      <c r="A38" s="58"/>
      <c r="B38" s="366" t="s">
        <v>41</v>
      </c>
      <c r="C38" s="367"/>
      <c r="D38" s="367"/>
      <c r="E38" s="367"/>
      <c r="F38" s="368"/>
      <c r="G38" s="29" t="s">
        <v>162</v>
      </c>
      <c r="H38" s="30">
        <v>17189200</v>
      </c>
      <c r="I38" s="31" t="s">
        <v>20</v>
      </c>
      <c r="J38" s="29" t="s">
        <v>162</v>
      </c>
      <c r="K38" s="30">
        <f>SUM(K39:K50)</f>
        <v>17189200</v>
      </c>
      <c r="L38" s="31" t="s">
        <v>163</v>
      </c>
      <c r="M38" s="32"/>
      <c r="N38" s="33"/>
      <c r="O38" s="30"/>
      <c r="P38" s="34"/>
      <c r="Q38" s="33"/>
      <c r="R38" s="45"/>
      <c r="S38" s="46"/>
      <c r="T38" s="46"/>
      <c r="U38" s="47"/>
      <c r="V38" s="171">
        <f t="shared" si="0"/>
        <v>0</v>
      </c>
      <c r="W38" s="171"/>
    </row>
    <row r="39" spans="1:24" ht="18.75" customHeight="1" x14ac:dyDescent="0.15">
      <c r="A39" s="58"/>
      <c r="B39" s="40"/>
      <c r="C39" s="40" t="s">
        <v>147</v>
      </c>
      <c r="D39" s="42"/>
      <c r="E39" s="40"/>
      <c r="F39" s="40"/>
      <c r="G39" s="29"/>
      <c r="H39" s="30">
        <v>194000</v>
      </c>
      <c r="I39" s="31"/>
      <c r="J39" s="29"/>
      <c r="K39" s="30">
        <f>M39+N39+O39+P39+Q39</f>
        <v>194000</v>
      </c>
      <c r="L39" s="31"/>
      <c r="M39" s="329">
        <v>194000</v>
      </c>
      <c r="N39" s="286">
        <v>0</v>
      </c>
      <c r="O39" s="223">
        <v>0</v>
      </c>
      <c r="P39" s="34"/>
      <c r="Q39" s="33"/>
      <c r="R39" s="45"/>
      <c r="S39" s="46"/>
      <c r="T39" s="46"/>
      <c r="U39" s="47"/>
      <c r="V39" s="171">
        <f t="shared" si="0"/>
        <v>194000</v>
      </c>
      <c r="W39" s="171"/>
    </row>
    <row r="40" spans="1:24" ht="18.75" customHeight="1" x14ac:dyDescent="0.15">
      <c r="A40" s="58"/>
      <c r="B40" s="40"/>
      <c r="C40" s="40" t="s">
        <v>148</v>
      </c>
      <c r="D40" s="42"/>
      <c r="E40" s="40"/>
      <c r="F40" s="40"/>
      <c r="G40" s="29"/>
      <c r="H40" s="30">
        <v>611000</v>
      </c>
      <c r="I40" s="31"/>
      <c r="J40" s="29"/>
      <c r="K40" s="30">
        <v>611000</v>
      </c>
      <c r="L40" s="31"/>
      <c r="M40" s="329">
        <v>0</v>
      </c>
      <c r="N40" s="286">
        <v>28000</v>
      </c>
      <c r="O40" s="223">
        <v>583000</v>
      </c>
      <c r="P40" s="34"/>
      <c r="Q40" s="33"/>
      <c r="R40" s="45"/>
      <c r="S40" s="46"/>
      <c r="T40" s="46"/>
      <c r="U40" s="47"/>
      <c r="V40" s="171">
        <f t="shared" si="0"/>
        <v>611000</v>
      </c>
      <c r="W40" s="171"/>
    </row>
    <row r="41" spans="1:24" ht="18.75" customHeight="1" x14ac:dyDescent="0.15">
      <c r="A41" s="58"/>
      <c r="B41" s="40"/>
      <c r="C41" s="40" t="s">
        <v>149</v>
      </c>
      <c r="D41" s="42"/>
      <c r="E41" s="40"/>
      <c r="F41" s="40"/>
      <c r="G41" s="29"/>
      <c r="H41" s="30">
        <v>3092000</v>
      </c>
      <c r="I41" s="31"/>
      <c r="J41" s="29"/>
      <c r="K41" s="30">
        <v>3092000</v>
      </c>
      <c r="L41" s="31"/>
      <c r="M41" s="329">
        <v>812000</v>
      </c>
      <c r="N41" s="286">
        <v>2250000</v>
      </c>
      <c r="O41" s="223">
        <v>30000</v>
      </c>
      <c r="P41" s="34"/>
      <c r="Q41" s="33"/>
      <c r="R41" s="45"/>
      <c r="S41" s="46"/>
      <c r="T41" s="46"/>
      <c r="U41" s="47"/>
      <c r="V41" s="171">
        <f t="shared" si="0"/>
        <v>3092000</v>
      </c>
      <c r="W41" s="171"/>
    </row>
    <row r="42" spans="1:24" ht="18.75" customHeight="1" x14ac:dyDescent="0.15">
      <c r="A42" s="58"/>
      <c r="B42" s="40"/>
      <c r="C42" s="40" t="s">
        <v>150</v>
      </c>
      <c r="D42" s="42"/>
      <c r="E42" s="40"/>
      <c r="F42" s="40"/>
      <c r="G42" s="29"/>
      <c r="H42" s="30">
        <v>1090000</v>
      </c>
      <c r="I42" s="31"/>
      <c r="J42" s="29"/>
      <c r="K42" s="30">
        <v>1090000</v>
      </c>
      <c r="L42" s="31"/>
      <c r="M42" s="329">
        <v>20000</v>
      </c>
      <c r="N42" s="286">
        <v>1055000</v>
      </c>
      <c r="O42" s="223">
        <v>15000</v>
      </c>
      <c r="P42" s="330"/>
      <c r="Q42" s="33"/>
      <c r="R42" s="45"/>
      <c r="S42" s="46"/>
      <c r="T42" s="46"/>
      <c r="U42" s="47"/>
      <c r="V42" s="171">
        <f t="shared" si="0"/>
        <v>1090000</v>
      </c>
      <c r="W42" s="171"/>
    </row>
    <row r="43" spans="1:24" ht="18.75" customHeight="1" x14ac:dyDescent="0.15">
      <c r="A43" s="58"/>
      <c r="B43" s="40"/>
      <c r="C43" s="40" t="s">
        <v>151</v>
      </c>
      <c r="D43" s="42"/>
      <c r="E43" s="40"/>
      <c r="F43" s="40"/>
      <c r="G43" s="29"/>
      <c r="H43" s="30">
        <v>6450000</v>
      </c>
      <c r="I43" s="31"/>
      <c r="J43" s="29"/>
      <c r="K43" s="30">
        <v>6450000</v>
      </c>
      <c r="L43" s="31"/>
      <c r="M43" s="329">
        <v>250000</v>
      </c>
      <c r="N43" s="286">
        <v>6200000</v>
      </c>
      <c r="O43" s="223"/>
      <c r="P43" s="34"/>
      <c r="Q43" s="33"/>
      <c r="R43" s="45"/>
      <c r="S43" s="46"/>
      <c r="T43" s="46"/>
      <c r="U43" s="47"/>
      <c r="V43" s="171">
        <f t="shared" si="0"/>
        <v>6450000</v>
      </c>
      <c r="W43" s="171"/>
    </row>
    <row r="44" spans="1:24" ht="18.75" customHeight="1" x14ac:dyDescent="0.15">
      <c r="A44" s="58"/>
      <c r="B44" s="40"/>
      <c r="C44" s="40" t="s">
        <v>152</v>
      </c>
      <c r="D44" s="42"/>
      <c r="E44" s="40"/>
      <c r="F44" s="40"/>
      <c r="G44" s="29"/>
      <c r="H44" s="30">
        <v>320000</v>
      </c>
      <c r="I44" s="31"/>
      <c r="J44" s="29"/>
      <c r="K44" s="30">
        <v>320000</v>
      </c>
      <c r="L44" s="31"/>
      <c r="M44" s="329">
        <v>320000</v>
      </c>
      <c r="N44" s="286"/>
      <c r="O44" s="223"/>
      <c r="P44" s="34"/>
      <c r="Q44" s="33"/>
      <c r="R44" s="45"/>
      <c r="S44" s="46"/>
      <c r="T44" s="46"/>
      <c r="U44" s="47"/>
      <c r="V44" s="171">
        <f t="shared" si="0"/>
        <v>320000</v>
      </c>
      <c r="W44" s="171"/>
    </row>
    <row r="45" spans="1:24" ht="18.75" customHeight="1" x14ac:dyDescent="0.15">
      <c r="A45" s="58"/>
      <c r="B45" s="40"/>
      <c r="C45" s="40" t="s">
        <v>153</v>
      </c>
      <c r="D45" s="42"/>
      <c r="E45" s="40"/>
      <c r="F45" s="40"/>
      <c r="G45" s="29"/>
      <c r="H45" s="30">
        <v>705000</v>
      </c>
      <c r="I45" s="31"/>
      <c r="J45" s="29"/>
      <c r="K45" s="30">
        <v>705000</v>
      </c>
      <c r="L45" s="31"/>
      <c r="M45" s="329">
        <v>0</v>
      </c>
      <c r="N45" s="286">
        <v>465000</v>
      </c>
      <c r="O45" s="223">
        <v>240000</v>
      </c>
      <c r="P45" s="34"/>
      <c r="Q45" s="33"/>
      <c r="R45" s="45"/>
      <c r="S45" s="46"/>
      <c r="T45" s="46"/>
      <c r="U45" s="47"/>
      <c r="V45" s="171">
        <f t="shared" si="0"/>
        <v>705000</v>
      </c>
      <c r="W45" s="171"/>
    </row>
    <row r="46" spans="1:24" ht="18.75" customHeight="1" x14ac:dyDescent="0.15">
      <c r="A46" s="58"/>
      <c r="B46" s="40"/>
      <c r="C46" s="40" t="s">
        <v>154</v>
      </c>
      <c r="D46" s="42"/>
      <c r="E46" s="40"/>
      <c r="F46" s="40"/>
      <c r="G46" s="29"/>
      <c r="H46" s="30">
        <v>0</v>
      </c>
      <c r="I46" s="31"/>
      <c r="J46" s="29"/>
      <c r="K46" s="30">
        <f t="shared" ref="K46:K54" si="3">M46+N46+O46+P46+Q46</f>
        <v>0</v>
      </c>
      <c r="L46" s="31"/>
      <c r="M46" s="329"/>
      <c r="N46" s="286"/>
      <c r="O46" s="223"/>
      <c r="P46" s="34"/>
      <c r="Q46" s="33"/>
      <c r="R46" s="45"/>
      <c r="S46" s="46"/>
      <c r="T46" s="46"/>
      <c r="U46" s="47"/>
      <c r="V46" s="171">
        <f t="shared" si="0"/>
        <v>0</v>
      </c>
      <c r="W46" s="171"/>
    </row>
    <row r="47" spans="1:24" ht="18.75" customHeight="1" x14ac:dyDescent="0.15">
      <c r="A47" s="58"/>
      <c r="B47" s="40"/>
      <c r="C47" s="40" t="s">
        <v>155</v>
      </c>
      <c r="D47" s="42"/>
      <c r="E47" s="40"/>
      <c r="F47" s="40"/>
      <c r="G47" s="29"/>
      <c r="H47" s="30">
        <v>3058000</v>
      </c>
      <c r="I47" s="31"/>
      <c r="J47" s="29"/>
      <c r="K47" s="30">
        <v>3058000</v>
      </c>
      <c r="L47" s="31"/>
      <c r="M47" s="329">
        <v>2658000</v>
      </c>
      <c r="N47" s="286">
        <v>220000</v>
      </c>
      <c r="O47" s="223">
        <v>180000</v>
      </c>
      <c r="P47" s="34"/>
      <c r="Q47" s="33"/>
      <c r="R47" s="45"/>
      <c r="S47" s="46"/>
      <c r="T47" s="46"/>
      <c r="U47" s="47"/>
      <c r="V47" s="171">
        <f t="shared" si="0"/>
        <v>3058000</v>
      </c>
      <c r="W47" s="171"/>
    </row>
    <row r="48" spans="1:24" ht="18.75" customHeight="1" x14ac:dyDescent="0.15">
      <c r="A48" s="58"/>
      <c r="B48" s="40"/>
      <c r="C48" s="40" t="s">
        <v>156</v>
      </c>
      <c r="D48" s="42"/>
      <c r="E48" s="40"/>
      <c r="F48" s="40"/>
      <c r="G48" s="29"/>
      <c r="H48" s="30">
        <v>125000</v>
      </c>
      <c r="I48" s="31"/>
      <c r="J48" s="29"/>
      <c r="K48" s="30">
        <v>125000</v>
      </c>
      <c r="L48" s="31"/>
      <c r="M48" s="329">
        <v>125000</v>
      </c>
      <c r="N48" s="286"/>
      <c r="O48" s="223"/>
      <c r="P48" s="34"/>
      <c r="Q48" s="33"/>
      <c r="R48" s="45"/>
      <c r="S48" s="46"/>
      <c r="T48" s="46"/>
      <c r="U48" s="47"/>
      <c r="V48" s="171">
        <f t="shared" si="0"/>
        <v>125000</v>
      </c>
      <c r="W48" s="171"/>
    </row>
    <row r="49" spans="1:24" ht="18.75" customHeight="1" x14ac:dyDescent="0.15">
      <c r="A49" s="58"/>
      <c r="B49" s="40"/>
      <c r="C49" s="40" t="s">
        <v>157</v>
      </c>
      <c r="D49" s="42"/>
      <c r="E49" s="40"/>
      <c r="F49" s="40"/>
      <c r="G49" s="29"/>
      <c r="H49" s="30">
        <v>190000</v>
      </c>
      <c r="I49" s="31"/>
      <c r="J49" s="29"/>
      <c r="K49" s="30">
        <v>190000</v>
      </c>
      <c r="L49" s="31"/>
      <c r="M49" s="329"/>
      <c r="N49" s="286">
        <v>190000</v>
      </c>
      <c r="O49" s="223"/>
      <c r="P49" s="34"/>
      <c r="Q49" s="33"/>
      <c r="R49" s="45"/>
      <c r="S49" s="46"/>
      <c r="T49" s="46"/>
      <c r="U49" s="47"/>
      <c r="V49" s="171">
        <f t="shared" si="0"/>
        <v>190000</v>
      </c>
      <c r="W49" s="171"/>
    </row>
    <row r="50" spans="1:24" ht="18.75" customHeight="1" x14ac:dyDescent="0.15">
      <c r="A50" s="58"/>
      <c r="B50" s="40"/>
      <c r="C50" s="40" t="s">
        <v>158</v>
      </c>
      <c r="D50" s="42"/>
      <c r="E50" s="40"/>
      <c r="F50" s="40"/>
      <c r="G50" s="29"/>
      <c r="H50" s="30">
        <v>1354200</v>
      </c>
      <c r="I50" s="31"/>
      <c r="J50" s="29"/>
      <c r="K50" s="30">
        <v>1354200</v>
      </c>
      <c r="L50" s="31"/>
      <c r="M50" s="329">
        <v>50000</v>
      </c>
      <c r="N50" s="286">
        <v>1254200</v>
      </c>
      <c r="O50" s="223">
        <v>50000</v>
      </c>
      <c r="P50" s="34"/>
      <c r="Q50" s="33"/>
      <c r="R50" s="45"/>
      <c r="S50" s="46"/>
      <c r="T50" s="46"/>
      <c r="U50" s="47"/>
      <c r="V50" s="171">
        <f t="shared" si="0"/>
        <v>1354200</v>
      </c>
      <c r="W50" s="171"/>
      <c r="X50" s="306">
        <f>SUM(V39:V50)</f>
        <v>17189200</v>
      </c>
    </row>
    <row r="51" spans="1:24" ht="18.75" customHeight="1" x14ac:dyDescent="0.15">
      <c r="A51" s="58"/>
      <c r="B51" s="366" t="s">
        <v>42</v>
      </c>
      <c r="C51" s="367"/>
      <c r="D51" s="367"/>
      <c r="E51" s="367"/>
      <c r="F51" s="368"/>
      <c r="G51" s="29" t="s">
        <v>162</v>
      </c>
      <c r="H51" s="30">
        <v>3052550</v>
      </c>
      <c r="I51" s="31" t="s">
        <v>20</v>
      </c>
      <c r="J51" s="29" t="s">
        <v>162</v>
      </c>
      <c r="K51" s="30">
        <f>SUM(K52:K59)</f>
        <v>3052550</v>
      </c>
      <c r="L51" s="31" t="s">
        <v>163</v>
      </c>
      <c r="M51" s="32"/>
      <c r="N51" s="33"/>
      <c r="O51" s="30"/>
      <c r="P51" s="34"/>
      <c r="Q51" s="33"/>
      <c r="R51" s="45"/>
      <c r="S51" s="46"/>
      <c r="T51" s="46"/>
      <c r="U51" s="47"/>
      <c r="V51" s="171">
        <f t="shared" si="0"/>
        <v>0</v>
      </c>
      <c r="W51" s="171"/>
    </row>
    <row r="52" spans="1:24" ht="18.75" customHeight="1" x14ac:dyDescent="0.15">
      <c r="A52" s="58"/>
      <c r="B52" s="40"/>
      <c r="C52" s="377" t="s">
        <v>148</v>
      </c>
      <c r="D52" s="377"/>
      <c r="E52" s="377"/>
      <c r="F52" s="220"/>
      <c r="G52" s="29"/>
      <c r="H52" s="30">
        <v>30000</v>
      </c>
      <c r="I52" s="31"/>
      <c r="J52" s="29"/>
      <c r="K52" s="30">
        <f>P52</f>
        <v>30000</v>
      </c>
      <c r="L52" s="31"/>
      <c r="M52" s="32"/>
      <c r="N52" s="33"/>
      <c r="O52" s="30"/>
      <c r="P52" s="34">
        <v>30000</v>
      </c>
      <c r="Q52" s="33"/>
      <c r="R52" s="45"/>
      <c r="S52" s="46"/>
      <c r="T52" s="46"/>
      <c r="U52" s="47"/>
      <c r="V52" s="171"/>
      <c r="W52" s="171"/>
    </row>
    <row r="53" spans="1:24" ht="18.75" customHeight="1" x14ac:dyDescent="0.15">
      <c r="A53" s="58"/>
      <c r="B53" s="40"/>
      <c r="C53" s="40" t="s">
        <v>149</v>
      </c>
      <c r="D53" s="42"/>
      <c r="E53" s="40"/>
      <c r="F53" s="40"/>
      <c r="G53" s="29"/>
      <c r="H53" s="30">
        <v>116000</v>
      </c>
      <c r="I53" s="31"/>
      <c r="J53" s="29"/>
      <c r="K53" s="30">
        <v>116000</v>
      </c>
      <c r="L53" s="31"/>
      <c r="M53" s="32"/>
      <c r="N53" s="33"/>
      <c r="O53" s="30"/>
      <c r="P53" s="34">
        <v>116000</v>
      </c>
      <c r="Q53" s="33"/>
      <c r="R53" s="45"/>
      <c r="S53" s="46"/>
      <c r="T53" s="46"/>
      <c r="U53" s="47"/>
      <c r="V53" s="171">
        <f t="shared" si="0"/>
        <v>116000</v>
      </c>
      <c r="W53" s="171"/>
    </row>
    <row r="54" spans="1:24" ht="18.75" customHeight="1" x14ac:dyDescent="0.15">
      <c r="A54" s="58"/>
      <c r="B54" s="40"/>
      <c r="C54" s="40" t="s">
        <v>150</v>
      </c>
      <c r="D54" s="42"/>
      <c r="E54" s="40"/>
      <c r="F54" s="40"/>
      <c r="G54" s="29"/>
      <c r="H54" s="30">
        <v>24000</v>
      </c>
      <c r="I54" s="31"/>
      <c r="J54" s="29"/>
      <c r="K54" s="30">
        <f t="shared" si="3"/>
        <v>24000</v>
      </c>
      <c r="L54" s="31"/>
      <c r="M54" s="32"/>
      <c r="N54" s="33"/>
      <c r="O54" s="30"/>
      <c r="P54" s="34">
        <v>24000</v>
      </c>
      <c r="Q54" s="33"/>
      <c r="R54" s="45"/>
      <c r="S54" s="46"/>
      <c r="T54" s="46"/>
      <c r="U54" s="47"/>
      <c r="V54" s="171">
        <f t="shared" si="0"/>
        <v>24000</v>
      </c>
      <c r="W54" s="171"/>
    </row>
    <row r="55" spans="1:24" ht="18.75" customHeight="1" x14ac:dyDescent="0.15">
      <c r="A55" s="58"/>
      <c r="B55" s="40"/>
      <c r="C55" s="378" t="s">
        <v>151</v>
      </c>
      <c r="D55" s="378"/>
      <c r="E55" s="378"/>
      <c r="F55" s="40"/>
      <c r="G55" s="29"/>
      <c r="H55" s="30">
        <v>0</v>
      </c>
      <c r="I55" s="31"/>
      <c r="J55" s="29"/>
      <c r="K55" s="30">
        <f>P55</f>
        <v>0</v>
      </c>
      <c r="L55" s="31"/>
      <c r="M55" s="32"/>
      <c r="N55" s="33"/>
      <c r="O55" s="30"/>
      <c r="P55" s="34">
        <v>0</v>
      </c>
      <c r="Q55" s="33"/>
      <c r="R55" s="45"/>
      <c r="S55" s="46"/>
      <c r="T55" s="46"/>
      <c r="U55" s="47"/>
      <c r="V55" s="171">
        <f t="shared" si="0"/>
        <v>0</v>
      </c>
      <c r="W55" s="171"/>
    </row>
    <row r="56" spans="1:24" ht="18.75" customHeight="1" x14ac:dyDescent="0.15">
      <c r="A56" s="58"/>
      <c r="B56" s="40"/>
      <c r="C56" s="40" t="s">
        <v>152</v>
      </c>
      <c r="D56" s="42"/>
      <c r="E56" s="40"/>
      <c r="F56" s="40"/>
      <c r="G56" s="29"/>
      <c r="H56" s="30">
        <v>1810000</v>
      </c>
      <c r="I56" s="31"/>
      <c r="J56" s="29"/>
      <c r="K56" s="30">
        <v>1810000</v>
      </c>
      <c r="L56" s="31"/>
      <c r="M56" s="32"/>
      <c r="N56" s="33"/>
      <c r="O56" s="30"/>
      <c r="P56" s="34">
        <v>1810000</v>
      </c>
      <c r="Q56" s="33"/>
      <c r="R56" s="45"/>
      <c r="S56" s="46"/>
      <c r="T56" s="46"/>
      <c r="U56" s="47"/>
      <c r="V56" s="171">
        <f t="shared" si="0"/>
        <v>1810000</v>
      </c>
      <c r="W56" s="171"/>
    </row>
    <row r="57" spans="1:24" ht="18.75" customHeight="1" x14ac:dyDescent="0.15">
      <c r="A57" s="58"/>
      <c r="B57" s="40"/>
      <c r="C57" s="40" t="s">
        <v>155</v>
      </c>
      <c r="D57" s="42"/>
      <c r="E57" s="40"/>
      <c r="F57" s="40"/>
      <c r="G57" s="29"/>
      <c r="H57" s="30">
        <v>760000</v>
      </c>
      <c r="I57" s="31"/>
      <c r="J57" s="29"/>
      <c r="K57" s="30">
        <v>760000</v>
      </c>
      <c r="L57" s="31"/>
      <c r="M57" s="32"/>
      <c r="N57" s="33"/>
      <c r="O57" s="30"/>
      <c r="P57" s="34">
        <v>760000</v>
      </c>
      <c r="Q57" s="33"/>
      <c r="R57" s="45"/>
      <c r="S57" s="46"/>
      <c r="T57" s="46"/>
      <c r="U57" s="47"/>
      <c r="V57" s="171">
        <f t="shared" si="0"/>
        <v>760000</v>
      </c>
      <c r="W57" s="171"/>
    </row>
    <row r="58" spans="1:24" ht="18.75" customHeight="1" x14ac:dyDescent="0.15">
      <c r="A58" s="58"/>
      <c r="B58" s="40"/>
      <c r="C58" s="40" t="s">
        <v>156</v>
      </c>
      <c r="D58" s="42"/>
      <c r="E58" s="40"/>
      <c r="F58" s="40"/>
      <c r="G58" s="29"/>
      <c r="H58" s="30">
        <v>0</v>
      </c>
      <c r="I58" s="31"/>
      <c r="J58" s="29"/>
      <c r="K58" s="30">
        <v>0</v>
      </c>
      <c r="L58" s="31"/>
      <c r="M58" s="32"/>
      <c r="N58" s="33"/>
      <c r="O58" s="30"/>
      <c r="P58" s="34">
        <v>0</v>
      </c>
      <c r="Q58" s="33"/>
      <c r="R58" s="45"/>
      <c r="S58" s="46"/>
      <c r="T58" s="46"/>
      <c r="U58" s="47"/>
      <c r="V58" s="171">
        <f t="shared" si="0"/>
        <v>0</v>
      </c>
      <c r="W58" s="171"/>
    </row>
    <row r="59" spans="1:24" ht="18.75" customHeight="1" x14ac:dyDescent="0.15">
      <c r="A59" s="58"/>
      <c r="B59" s="40"/>
      <c r="C59" s="40" t="s">
        <v>158</v>
      </c>
      <c r="D59" s="42"/>
      <c r="E59" s="40"/>
      <c r="F59" s="40"/>
      <c r="G59" s="29"/>
      <c r="H59" s="30">
        <v>312550</v>
      </c>
      <c r="I59" s="31"/>
      <c r="J59" s="29"/>
      <c r="K59" s="30">
        <v>312550</v>
      </c>
      <c r="L59" s="31"/>
      <c r="M59" s="32"/>
      <c r="N59" s="33"/>
      <c r="O59" s="30"/>
      <c r="P59" s="34">
        <v>312550</v>
      </c>
      <c r="Q59" s="33"/>
      <c r="R59" s="45"/>
      <c r="S59" s="46"/>
      <c r="T59" s="46"/>
      <c r="U59" s="47"/>
      <c r="V59" s="171">
        <f t="shared" si="0"/>
        <v>312550</v>
      </c>
      <c r="W59" s="171"/>
      <c r="X59" s="171">
        <f>SUM(P52:P59)</f>
        <v>3052550</v>
      </c>
    </row>
    <row r="60" spans="1:24" ht="18.75" customHeight="1" x14ac:dyDescent="0.15">
      <c r="A60" s="58"/>
      <c r="B60" s="366" t="s">
        <v>43</v>
      </c>
      <c r="C60" s="367"/>
      <c r="D60" s="367"/>
      <c r="E60" s="367"/>
      <c r="F60" s="368"/>
      <c r="G60" s="29" t="s">
        <v>162</v>
      </c>
      <c r="H60" s="30">
        <v>4645000</v>
      </c>
      <c r="I60" s="31" t="s">
        <v>20</v>
      </c>
      <c r="J60" s="29" t="s">
        <v>162</v>
      </c>
      <c r="K60" s="30">
        <f>SUM(K61:K73)</f>
        <v>4645000</v>
      </c>
      <c r="L60" s="31" t="s">
        <v>163</v>
      </c>
      <c r="M60" s="32"/>
      <c r="N60" s="33"/>
      <c r="O60" s="30"/>
      <c r="P60" s="34"/>
      <c r="Q60" s="33"/>
      <c r="R60" s="45"/>
      <c r="S60" s="46"/>
      <c r="T60" s="46"/>
      <c r="U60" s="47"/>
      <c r="V60" s="171">
        <f t="shared" si="0"/>
        <v>0</v>
      </c>
      <c r="W60" s="171"/>
    </row>
    <row r="61" spans="1:24" ht="18.75" customHeight="1" x14ac:dyDescent="0.15">
      <c r="A61" s="58"/>
      <c r="B61" s="40"/>
      <c r="C61" s="40" t="s">
        <v>147</v>
      </c>
      <c r="D61" s="42"/>
      <c r="E61" s="40"/>
      <c r="F61" s="40"/>
      <c r="G61" s="29"/>
      <c r="H61" s="30">
        <v>0</v>
      </c>
      <c r="I61" s="31"/>
      <c r="J61" s="29"/>
      <c r="K61" s="30">
        <v>0</v>
      </c>
      <c r="L61" s="31"/>
      <c r="M61" s="32"/>
      <c r="N61" s="33"/>
      <c r="O61" s="30"/>
      <c r="P61" s="34"/>
      <c r="Q61" s="33">
        <v>0</v>
      </c>
      <c r="R61" s="45"/>
      <c r="S61" s="46"/>
      <c r="T61" s="46"/>
      <c r="U61" s="47"/>
      <c r="V61" s="171">
        <f t="shared" si="0"/>
        <v>0</v>
      </c>
      <c r="W61" s="171"/>
    </row>
    <row r="62" spans="1:24" ht="18.75" customHeight="1" x14ac:dyDescent="0.15">
      <c r="A62" s="58"/>
      <c r="B62" s="40"/>
      <c r="C62" s="40" t="s">
        <v>148</v>
      </c>
      <c r="D62" s="42"/>
      <c r="E62" s="40"/>
      <c r="F62" s="40"/>
      <c r="G62" s="29"/>
      <c r="H62" s="30">
        <v>0</v>
      </c>
      <c r="I62" s="31"/>
      <c r="J62" s="29"/>
      <c r="K62" s="30">
        <v>0</v>
      </c>
      <c r="L62" s="31"/>
      <c r="M62" s="32"/>
      <c r="N62" s="33"/>
      <c r="O62" s="30"/>
      <c r="P62" s="34"/>
      <c r="Q62" s="33">
        <v>0</v>
      </c>
      <c r="R62" s="45"/>
      <c r="S62" s="46"/>
      <c r="T62" s="46"/>
      <c r="U62" s="47"/>
      <c r="V62" s="171">
        <f t="shared" si="0"/>
        <v>0</v>
      </c>
      <c r="W62" s="171"/>
    </row>
    <row r="63" spans="1:24" ht="18.75" customHeight="1" x14ac:dyDescent="0.15">
      <c r="A63" s="58"/>
      <c r="B63" s="40"/>
      <c r="C63" s="40" t="s">
        <v>149</v>
      </c>
      <c r="D63" s="42"/>
      <c r="E63" s="40"/>
      <c r="F63" s="40"/>
      <c r="G63" s="29"/>
      <c r="H63" s="30">
        <v>310000</v>
      </c>
      <c r="I63" s="31"/>
      <c r="J63" s="29"/>
      <c r="K63" s="30">
        <v>310000</v>
      </c>
      <c r="L63" s="31"/>
      <c r="M63" s="32"/>
      <c r="N63" s="33"/>
      <c r="O63" s="30"/>
      <c r="P63" s="34"/>
      <c r="Q63" s="33">
        <v>310000</v>
      </c>
      <c r="R63" s="45"/>
      <c r="S63" s="46"/>
      <c r="T63" s="46"/>
      <c r="U63" s="47"/>
      <c r="V63" s="171">
        <f t="shared" si="0"/>
        <v>310000</v>
      </c>
      <c r="W63" s="171"/>
    </row>
    <row r="64" spans="1:24" ht="18.75" customHeight="1" x14ac:dyDescent="0.15">
      <c r="A64" s="58"/>
      <c r="B64" s="40"/>
      <c r="C64" s="40" t="s">
        <v>150</v>
      </c>
      <c r="D64" s="42"/>
      <c r="E64" s="40"/>
      <c r="F64" s="40"/>
      <c r="G64" s="29"/>
      <c r="H64" s="30">
        <v>960000</v>
      </c>
      <c r="I64" s="31"/>
      <c r="J64" s="29"/>
      <c r="K64" s="30">
        <v>960000</v>
      </c>
      <c r="L64" s="31"/>
      <c r="M64" s="32"/>
      <c r="N64" s="33"/>
      <c r="O64" s="30"/>
      <c r="P64" s="34"/>
      <c r="Q64" s="33">
        <v>960000</v>
      </c>
      <c r="R64" s="45"/>
      <c r="S64" s="46"/>
      <c r="T64" s="46"/>
      <c r="U64" s="47"/>
      <c r="V64" s="171">
        <f t="shared" si="0"/>
        <v>960000</v>
      </c>
      <c r="W64" s="171"/>
    </row>
    <row r="65" spans="1:24" ht="18.75" customHeight="1" x14ac:dyDescent="0.15">
      <c r="A65" s="58"/>
      <c r="B65" s="40"/>
      <c r="C65" s="40" t="s">
        <v>151</v>
      </c>
      <c r="D65" s="42"/>
      <c r="E65" s="40"/>
      <c r="F65" s="40"/>
      <c r="G65" s="29"/>
      <c r="H65" s="30">
        <v>40000</v>
      </c>
      <c r="I65" s="31"/>
      <c r="J65" s="29"/>
      <c r="K65" s="30">
        <v>40000</v>
      </c>
      <c r="L65" s="31"/>
      <c r="M65" s="32"/>
      <c r="N65" s="33"/>
      <c r="O65" s="30"/>
      <c r="P65" s="34"/>
      <c r="Q65" s="33">
        <v>40000</v>
      </c>
      <c r="R65" s="45"/>
      <c r="S65" s="46"/>
      <c r="T65" s="46"/>
      <c r="U65" s="47"/>
      <c r="V65" s="171">
        <f t="shared" si="0"/>
        <v>40000</v>
      </c>
      <c r="W65" s="171"/>
    </row>
    <row r="66" spans="1:24" ht="18.75" customHeight="1" x14ac:dyDescent="0.15">
      <c r="A66" s="58"/>
      <c r="B66" s="40"/>
      <c r="C66" s="40" t="s">
        <v>152</v>
      </c>
      <c r="D66" s="42"/>
      <c r="E66" s="40"/>
      <c r="F66" s="40"/>
      <c r="G66" s="29"/>
      <c r="H66" s="30">
        <v>50000</v>
      </c>
      <c r="I66" s="31"/>
      <c r="J66" s="29"/>
      <c r="K66" s="30">
        <v>50000</v>
      </c>
      <c r="L66" s="31"/>
      <c r="M66" s="32"/>
      <c r="N66" s="33"/>
      <c r="O66" s="30"/>
      <c r="P66" s="34"/>
      <c r="Q66" s="33">
        <v>50000</v>
      </c>
      <c r="R66" s="45"/>
      <c r="S66" s="46"/>
      <c r="T66" s="46"/>
      <c r="U66" s="47"/>
      <c r="V66" s="171">
        <f t="shared" si="0"/>
        <v>50000</v>
      </c>
      <c r="W66" s="171"/>
    </row>
    <row r="67" spans="1:24" ht="18.75" customHeight="1" x14ac:dyDescent="0.15">
      <c r="A67" s="58"/>
      <c r="B67" s="40"/>
      <c r="C67" s="40" t="s">
        <v>160</v>
      </c>
      <c r="D67" s="42"/>
      <c r="E67" s="40"/>
      <c r="F67" s="40"/>
      <c r="G67" s="29"/>
      <c r="H67" s="30">
        <v>0</v>
      </c>
      <c r="I67" s="31"/>
      <c r="J67" s="29"/>
      <c r="K67" s="30">
        <v>0</v>
      </c>
      <c r="L67" s="31"/>
      <c r="M67" s="32"/>
      <c r="N67" s="33"/>
      <c r="O67" s="30"/>
      <c r="P67" s="34"/>
      <c r="Q67" s="33">
        <v>0</v>
      </c>
      <c r="R67" s="45"/>
      <c r="S67" s="46"/>
      <c r="T67" s="46"/>
      <c r="U67" s="47"/>
      <c r="V67" s="171">
        <f t="shared" si="0"/>
        <v>0</v>
      </c>
      <c r="W67" s="171"/>
    </row>
    <row r="68" spans="1:24" ht="18.75" customHeight="1" x14ac:dyDescent="0.15">
      <c r="A68" s="58"/>
      <c r="B68" s="40"/>
      <c r="C68" s="366" t="s">
        <v>153</v>
      </c>
      <c r="D68" s="367"/>
      <c r="E68" s="367"/>
      <c r="F68" s="40"/>
      <c r="G68" s="29"/>
      <c r="H68" s="30">
        <v>350000</v>
      </c>
      <c r="I68" s="31"/>
      <c r="J68" s="29"/>
      <c r="K68" s="30">
        <v>350000</v>
      </c>
      <c r="L68" s="31"/>
      <c r="M68" s="32"/>
      <c r="N68" s="33"/>
      <c r="O68" s="30"/>
      <c r="P68" s="34"/>
      <c r="Q68" s="33">
        <v>350000</v>
      </c>
      <c r="R68" s="45"/>
      <c r="S68" s="46"/>
      <c r="T68" s="46"/>
      <c r="U68" s="47"/>
      <c r="V68" s="171">
        <f t="shared" si="0"/>
        <v>350000</v>
      </c>
      <c r="W68" s="171"/>
    </row>
    <row r="69" spans="1:24" ht="18.75" customHeight="1" x14ac:dyDescent="0.15">
      <c r="A69" s="58"/>
      <c r="B69" s="40"/>
      <c r="C69" s="40" t="s">
        <v>155</v>
      </c>
      <c r="D69" s="42"/>
      <c r="E69" s="40"/>
      <c r="F69" s="40"/>
      <c r="G69" s="29"/>
      <c r="H69" s="30">
        <v>2700000</v>
      </c>
      <c r="I69" s="31"/>
      <c r="J69" s="29"/>
      <c r="K69" s="30">
        <v>2700000</v>
      </c>
      <c r="L69" s="31"/>
      <c r="M69" s="32"/>
      <c r="N69" s="33"/>
      <c r="O69" s="30"/>
      <c r="P69" s="34"/>
      <c r="Q69" s="33">
        <v>2700000</v>
      </c>
      <c r="R69" s="45"/>
      <c r="S69" s="46"/>
      <c r="T69" s="46"/>
      <c r="U69" s="47"/>
      <c r="V69" s="171">
        <f t="shared" si="0"/>
        <v>2700000</v>
      </c>
      <c r="W69" s="171"/>
    </row>
    <row r="70" spans="1:24" ht="18.75" customHeight="1" x14ac:dyDescent="0.15">
      <c r="A70" s="58"/>
      <c r="B70" s="40"/>
      <c r="C70" s="40" t="s">
        <v>156</v>
      </c>
      <c r="D70" s="42"/>
      <c r="E70" s="40"/>
      <c r="F70" s="40"/>
      <c r="G70" s="29"/>
      <c r="H70" s="30">
        <v>50000</v>
      </c>
      <c r="I70" s="31"/>
      <c r="J70" s="29"/>
      <c r="K70" s="30">
        <v>50000</v>
      </c>
      <c r="L70" s="31"/>
      <c r="M70" s="32"/>
      <c r="N70" s="33"/>
      <c r="O70" s="30"/>
      <c r="P70" s="34"/>
      <c r="Q70" s="33">
        <v>50000</v>
      </c>
      <c r="R70" s="45"/>
      <c r="S70" s="46"/>
      <c r="T70" s="46"/>
      <c r="U70" s="47"/>
      <c r="V70" s="171">
        <f t="shared" si="0"/>
        <v>50000</v>
      </c>
      <c r="W70" s="171"/>
    </row>
    <row r="71" spans="1:24" ht="18.75" customHeight="1" x14ac:dyDescent="0.15">
      <c r="A71" s="58"/>
      <c r="B71" s="40"/>
      <c r="C71" s="40" t="s">
        <v>158</v>
      </c>
      <c r="D71" s="42"/>
      <c r="E71" s="40"/>
      <c r="F71" s="40"/>
      <c r="G71" s="29"/>
      <c r="H71" s="30">
        <v>85000</v>
      </c>
      <c r="I71" s="31"/>
      <c r="J71" s="29"/>
      <c r="K71" s="30">
        <v>85000</v>
      </c>
      <c r="L71" s="31"/>
      <c r="M71" s="32"/>
      <c r="N71" s="33"/>
      <c r="O71" s="30"/>
      <c r="P71" s="34"/>
      <c r="Q71" s="33">
        <v>85000</v>
      </c>
      <c r="R71" s="45"/>
      <c r="S71" s="46"/>
      <c r="T71" s="46"/>
      <c r="U71" s="47"/>
      <c r="V71" s="171">
        <f t="shared" si="0"/>
        <v>85000</v>
      </c>
      <c r="W71" s="171"/>
    </row>
    <row r="72" spans="1:24" ht="18.75" customHeight="1" x14ac:dyDescent="0.15">
      <c r="A72" s="58"/>
      <c r="B72" s="40"/>
      <c r="C72" s="40" t="s">
        <v>170</v>
      </c>
      <c r="D72" s="42"/>
      <c r="E72" s="40"/>
      <c r="F72" s="40"/>
      <c r="G72" s="29"/>
      <c r="H72" s="30">
        <v>0</v>
      </c>
      <c r="I72" s="31"/>
      <c r="J72" s="29"/>
      <c r="K72" s="30">
        <v>0</v>
      </c>
      <c r="L72" s="31"/>
      <c r="M72" s="32"/>
      <c r="N72" s="33"/>
      <c r="O72" s="30"/>
      <c r="P72" s="34"/>
      <c r="Q72" s="33">
        <v>0</v>
      </c>
      <c r="R72" s="45"/>
      <c r="S72" s="46"/>
      <c r="T72" s="46"/>
      <c r="U72" s="47"/>
      <c r="V72" s="171">
        <f t="shared" si="0"/>
        <v>0</v>
      </c>
      <c r="W72" s="171"/>
    </row>
    <row r="73" spans="1:24" ht="18.75" customHeight="1" x14ac:dyDescent="0.15">
      <c r="A73" s="58"/>
      <c r="B73" s="40"/>
      <c r="C73" s="40" t="s">
        <v>159</v>
      </c>
      <c r="D73" s="42"/>
      <c r="E73" s="40"/>
      <c r="F73" s="40"/>
      <c r="G73" s="29"/>
      <c r="H73" s="30">
        <v>100000</v>
      </c>
      <c r="I73" s="31"/>
      <c r="J73" s="29"/>
      <c r="K73" s="30">
        <v>100000</v>
      </c>
      <c r="L73" s="31"/>
      <c r="M73" s="32"/>
      <c r="N73" s="33"/>
      <c r="O73" s="30"/>
      <c r="P73" s="34"/>
      <c r="Q73" s="33">
        <v>100000</v>
      </c>
      <c r="R73" s="45"/>
      <c r="S73" s="46"/>
      <c r="T73" s="46"/>
      <c r="U73" s="47"/>
      <c r="V73" s="171">
        <f t="shared" si="0"/>
        <v>100000</v>
      </c>
      <c r="W73" s="171"/>
      <c r="X73" s="171">
        <f>SUM(Q63:Q73)</f>
        <v>4645000</v>
      </c>
    </row>
    <row r="74" spans="1:24" ht="18.75" customHeight="1" x14ac:dyDescent="0.15">
      <c r="A74" s="58"/>
      <c r="B74" s="366" t="s">
        <v>44</v>
      </c>
      <c r="C74" s="367"/>
      <c r="D74" s="367"/>
      <c r="E74" s="367"/>
      <c r="F74" s="368"/>
      <c r="G74" s="29" t="s">
        <v>162</v>
      </c>
      <c r="H74" s="30">
        <v>0</v>
      </c>
      <c r="I74" s="31" t="s">
        <v>20</v>
      </c>
      <c r="J74" s="29" t="s">
        <v>162</v>
      </c>
      <c r="K74" s="30">
        <f>SUM(K75)</f>
        <v>0</v>
      </c>
      <c r="L74" s="31" t="s">
        <v>163</v>
      </c>
      <c r="M74" s="32"/>
      <c r="N74" s="33"/>
      <c r="O74" s="30"/>
      <c r="P74" s="34"/>
      <c r="Q74" s="33"/>
      <c r="R74" s="45"/>
      <c r="S74" s="46"/>
      <c r="T74" s="46"/>
      <c r="U74" s="47"/>
      <c r="V74" s="171">
        <f t="shared" si="0"/>
        <v>0</v>
      </c>
      <c r="W74" s="171"/>
    </row>
    <row r="75" spans="1:24" ht="18.75" customHeight="1" x14ac:dyDescent="0.15">
      <c r="A75" s="58"/>
      <c r="B75" s="40"/>
      <c r="C75" s="40" t="s">
        <v>149</v>
      </c>
      <c r="D75" s="220"/>
      <c r="E75" s="220"/>
      <c r="F75" s="221"/>
      <c r="G75" s="29"/>
      <c r="H75" s="30">
        <v>0</v>
      </c>
      <c r="I75" s="31"/>
      <c r="J75" s="29"/>
      <c r="K75" s="30">
        <v>0</v>
      </c>
      <c r="L75" s="31"/>
      <c r="M75" s="32"/>
      <c r="N75" s="33"/>
      <c r="O75" s="30"/>
      <c r="P75" s="34"/>
      <c r="Q75" s="33"/>
      <c r="R75" s="45"/>
      <c r="S75" s="46"/>
      <c r="T75" s="46"/>
      <c r="U75" s="47"/>
      <c r="V75" s="171">
        <f t="shared" ref="V75:V139" si="4">M75+N75+O75+P75+Q75+R75</f>
        <v>0</v>
      </c>
      <c r="W75" s="171"/>
    </row>
    <row r="76" spans="1:24" ht="18.75" customHeight="1" x14ac:dyDescent="0.15">
      <c r="A76" s="58"/>
      <c r="B76" s="366" t="s">
        <v>45</v>
      </c>
      <c r="C76" s="367"/>
      <c r="D76" s="367"/>
      <c r="E76" s="367"/>
      <c r="F76" s="368"/>
      <c r="G76" s="29" t="s">
        <v>162</v>
      </c>
      <c r="H76" s="30">
        <v>18858647</v>
      </c>
      <c r="I76" s="31" t="s">
        <v>20</v>
      </c>
      <c r="J76" s="29" t="s">
        <v>162</v>
      </c>
      <c r="K76" s="30">
        <f>SUM(K77:K86)</f>
        <v>18858647</v>
      </c>
      <c r="L76" s="31" t="s">
        <v>163</v>
      </c>
      <c r="M76" s="32"/>
      <c r="N76" s="33"/>
      <c r="O76" s="30"/>
      <c r="P76" s="34"/>
      <c r="Q76" s="33"/>
      <c r="R76" s="45"/>
      <c r="S76" s="46"/>
      <c r="T76" s="46"/>
      <c r="U76" s="47"/>
      <c r="V76" s="171">
        <f t="shared" si="4"/>
        <v>0</v>
      </c>
      <c r="W76" s="171"/>
    </row>
    <row r="77" spans="1:24" ht="18.75" customHeight="1" x14ac:dyDescent="0.15">
      <c r="A77" s="58"/>
      <c r="B77" s="40"/>
      <c r="C77" s="256" t="s">
        <v>161</v>
      </c>
      <c r="D77" s="222"/>
      <c r="E77" s="222"/>
      <c r="F77" s="220"/>
      <c r="G77" s="29"/>
      <c r="H77" s="30">
        <v>13362165</v>
      </c>
      <c r="I77" s="31"/>
      <c r="J77" s="29"/>
      <c r="K77" s="30">
        <v>13362165</v>
      </c>
      <c r="L77" s="31"/>
      <c r="M77" s="32"/>
      <c r="N77" s="33"/>
      <c r="O77" s="30"/>
      <c r="P77" s="34"/>
      <c r="Q77" s="33"/>
      <c r="R77" s="45"/>
      <c r="S77" s="46"/>
      <c r="T77" s="46">
        <v>13362165</v>
      </c>
      <c r="U77" s="47"/>
      <c r="V77" s="171">
        <f t="shared" si="4"/>
        <v>0</v>
      </c>
      <c r="W77" s="171"/>
    </row>
    <row r="78" spans="1:24" ht="18.75" customHeight="1" x14ac:dyDescent="0.15">
      <c r="A78" s="58"/>
      <c r="B78" s="40"/>
      <c r="C78" s="40" t="s">
        <v>147</v>
      </c>
      <c r="D78" s="42"/>
      <c r="E78" s="40"/>
      <c r="F78" s="40"/>
      <c r="G78" s="29"/>
      <c r="H78" s="30">
        <v>964665</v>
      </c>
      <c r="I78" s="31"/>
      <c r="J78" s="29"/>
      <c r="K78" s="30">
        <v>964665</v>
      </c>
      <c r="L78" s="31"/>
      <c r="M78" s="32"/>
      <c r="N78" s="33"/>
      <c r="O78" s="30"/>
      <c r="P78" s="34"/>
      <c r="Q78" s="33"/>
      <c r="R78" s="45"/>
      <c r="S78" s="46"/>
      <c r="T78" s="46">
        <v>964665</v>
      </c>
      <c r="U78" s="47"/>
      <c r="V78" s="171">
        <f t="shared" si="4"/>
        <v>0</v>
      </c>
      <c r="W78" s="171"/>
    </row>
    <row r="79" spans="1:24" ht="18.75" customHeight="1" x14ac:dyDescent="0.15">
      <c r="A79" s="58"/>
      <c r="B79" s="40"/>
      <c r="C79" s="40" t="s">
        <v>148</v>
      </c>
      <c r="D79" s="42"/>
      <c r="E79" s="40"/>
      <c r="F79" s="40"/>
      <c r="G79" s="29"/>
      <c r="H79" s="30">
        <v>208000</v>
      </c>
      <c r="I79" s="31"/>
      <c r="J79" s="29"/>
      <c r="K79" s="30">
        <v>208000</v>
      </c>
      <c r="L79" s="31"/>
      <c r="M79" s="32"/>
      <c r="N79" s="33"/>
      <c r="O79" s="30"/>
      <c r="P79" s="34"/>
      <c r="Q79" s="33"/>
      <c r="R79" s="45"/>
      <c r="S79" s="46"/>
      <c r="T79" s="46">
        <v>208000</v>
      </c>
      <c r="U79" s="47"/>
      <c r="V79" s="171">
        <f t="shared" si="4"/>
        <v>0</v>
      </c>
      <c r="W79" s="171"/>
    </row>
    <row r="80" spans="1:24" ht="18.75" customHeight="1" x14ac:dyDescent="0.15">
      <c r="A80" s="58"/>
      <c r="B80" s="40"/>
      <c r="C80" s="40" t="s">
        <v>149</v>
      </c>
      <c r="D80" s="42"/>
      <c r="E80" s="40"/>
      <c r="F80" s="40"/>
      <c r="G80" s="29"/>
      <c r="H80" s="30">
        <v>2000717</v>
      </c>
      <c r="I80" s="31"/>
      <c r="J80" s="29"/>
      <c r="K80" s="30">
        <v>2000717</v>
      </c>
      <c r="L80" s="31"/>
      <c r="M80" s="32"/>
      <c r="N80" s="33"/>
      <c r="O80" s="30"/>
      <c r="P80" s="34"/>
      <c r="Q80" s="33"/>
      <c r="R80" s="45"/>
      <c r="S80" s="46"/>
      <c r="T80" s="46">
        <v>2000717</v>
      </c>
      <c r="U80" s="47"/>
      <c r="V80" s="171">
        <f t="shared" si="4"/>
        <v>0</v>
      </c>
      <c r="W80" s="171"/>
    </row>
    <row r="81" spans="1:24" ht="18.75" customHeight="1" x14ac:dyDescent="0.15">
      <c r="A81" s="58"/>
      <c r="B81" s="40"/>
      <c r="C81" s="40" t="s">
        <v>150</v>
      </c>
      <c r="D81" s="42"/>
      <c r="E81" s="40"/>
      <c r="F81" s="40"/>
      <c r="G81" s="29"/>
      <c r="H81" s="30">
        <v>202000</v>
      </c>
      <c r="I81" s="31"/>
      <c r="J81" s="29"/>
      <c r="K81" s="30">
        <v>202000</v>
      </c>
      <c r="L81" s="31"/>
      <c r="M81" s="32"/>
      <c r="N81" s="33"/>
      <c r="O81" s="30"/>
      <c r="P81" s="34"/>
      <c r="Q81" s="33"/>
      <c r="R81" s="45"/>
      <c r="S81" s="46"/>
      <c r="T81" s="46">
        <v>202000</v>
      </c>
      <c r="U81" s="47"/>
      <c r="V81" s="171">
        <f t="shared" si="4"/>
        <v>0</v>
      </c>
      <c r="W81" s="171"/>
    </row>
    <row r="82" spans="1:24" ht="18.75" customHeight="1" x14ac:dyDescent="0.15">
      <c r="A82" s="58"/>
      <c r="B82" s="40"/>
      <c r="C82" s="40" t="s">
        <v>151</v>
      </c>
      <c r="D82" s="42"/>
      <c r="E82" s="40"/>
      <c r="F82" s="40"/>
      <c r="G82" s="29"/>
      <c r="H82" s="30">
        <v>1130000</v>
      </c>
      <c r="I82" s="31"/>
      <c r="J82" s="29"/>
      <c r="K82" s="30">
        <v>1130000</v>
      </c>
      <c r="L82" s="31"/>
      <c r="M82" s="32"/>
      <c r="N82" s="33"/>
      <c r="O82" s="30"/>
      <c r="P82" s="34"/>
      <c r="Q82" s="33"/>
      <c r="R82" s="45"/>
      <c r="S82" s="46"/>
      <c r="T82" s="46">
        <v>1130000</v>
      </c>
      <c r="U82" s="47"/>
      <c r="V82" s="171">
        <f t="shared" si="4"/>
        <v>0</v>
      </c>
      <c r="W82" s="171"/>
    </row>
    <row r="83" spans="1:24" ht="18.75" customHeight="1" x14ac:dyDescent="0.15">
      <c r="A83" s="58"/>
      <c r="B83" s="40"/>
      <c r="C83" s="366" t="s">
        <v>152</v>
      </c>
      <c r="D83" s="367"/>
      <c r="E83" s="367"/>
      <c r="F83" s="40"/>
      <c r="G83" s="29"/>
      <c r="H83" s="30">
        <v>200000</v>
      </c>
      <c r="I83" s="31"/>
      <c r="J83" s="29"/>
      <c r="K83" s="30">
        <v>200000</v>
      </c>
      <c r="L83" s="31"/>
      <c r="M83" s="32"/>
      <c r="N83" s="33"/>
      <c r="O83" s="30"/>
      <c r="P83" s="34"/>
      <c r="Q83" s="33"/>
      <c r="R83" s="45"/>
      <c r="S83" s="46"/>
      <c r="T83" s="46">
        <v>200000</v>
      </c>
      <c r="U83" s="47"/>
      <c r="V83" s="171"/>
      <c r="W83" s="171"/>
    </row>
    <row r="84" spans="1:24" ht="18.75" customHeight="1" x14ac:dyDescent="0.15">
      <c r="A84" s="58"/>
      <c r="B84" s="40"/>
      <c r="C84" s="40" t="s">
        <v>153</v>
      </c>
      <c r="D84" s="42"/>
      <c r="E84" s="40"/>
      <c r="F84" s="40"/>
      <c r="G84" s="29"/>
      <c r="H84" s="30">
        <v>320000</v>
      </c>
      <c r="I84" s="31"/>
      <c r="J84" s="29"/>
      <c r="K84" s="30">
        <v>320000</v>
      </c>
      <c r="L84" s="31"/>
      <c r="M84" s="32"/>
      <c r="N84" s="33"/>
      <c r="O84" s="30"/>
      <c r="P84" s="34"/>
      <c r="Q84" s="33"/>
      <c r="R84" s="45"/>
      <c r="S84" s="46"/>
      <c r="T84" s="46">
        <v>320000</v>
      </c>
      <c r="U84" s="47"/>
      <c r="V84" s="171">
        <f t="shared" si="4"/>
        <v>0</v>
      </c>
      <c r="W84" s="171"/>
    </row>
    <row r="85" spans="1:24" ht="18.75" customHeight="1" x14ac:dyDescent="0.15">
      <c r="A85" s="58"/>
      <c r="B85" s="40"/>
      <c r="C85" s="40" t="s">
        <v>155</v>
      </c>
      <c r="D85" s="42"/>
      <c r="E85" s="40"/>
      <c r="F85" s="40"/>
      <c r="G85" s="29"/>
      <c r="H85" s="30">
        <v>330000</v>
      </c>
      <c r="I85" s="31"/>
      <c r="J85" s="29"/>
      <c r="K85" s="30">
        <v>330000</v>
      </c>
      <c r="L85" s="31"/>
      <c r="M85" s="32"/>
      <c r="N85" s="33"/>
      <c r="O85" s="30"/>
      <c r="P85" s="34"/>
      <c r="Q85" s="33"/>
      <c r="R85" s="45"/>
      <c r="S85" s="46"/>
      <c r="T85" s="46">
        <v>330000</v>
      </c>
      <c r="U85" s="47"/>
      <c r="V85" s="171">
        <f t="shared" si="4"/>
        <v>0</v>
      </c>
      <c r="W85" s="171"/>
    </row>
    <row r="86" spans="1:24" ht="18.75" customHeight="1" x14ac:dyDescent="0.15">
      <c r="A86" s="58"/>
      <c r="B86" s="40"/>
      <c r="C86" s="40" t="s">
        <v>158</v>
      </c>
      <c r="D86" s="42"/>
      <c r="E86" s="40"/>
      <c r="F86" s="40"/>
      <c r="G86" s="29"/>
      <c r="H86" s="30">
        <v>141100</v>
      </c>
      <c r="I86" s="31"/>
      <c r="J86" s="29"/>
      <c r="K86" s="30">
        <v>141100</v>
      </c>
      <c r="L86" s="31"/>
      <c r="M86" s="32"/>
      <c r="N86" s="33"/>
      <c r="O86" s="30"/>
      <c r="P86" s="34"/>
      <c r="Q86" s="33"/>
      <c r="R86" s="45"/>
      <c r="S86" s="46"/>
      <c r="T86" s="46">
        <v>141100</v>
      </c>
      <c r="U86" s="47"/>
      <c r="V86" s="171">
        <f t="shared" si="4"/>
        <v>0</v>
      </c>
      <c r="W86" s="171"/>
      <c r="X86" s="171">
        <f>SUM(T77:T86)</f>
        <v>18858647</v>
      </c>
    </row>
    <row r="87" spans="1:24" ht="18.75" customHeight="1" x14ac:dyDescent="0.15">
      <c r="A87" s="58"/>
      <c r="B87" s="40" t="s">
        <v>46</v>
      </c>
      <c r="C87" s="40"/>
      <c r="D87" s="42"/>
      <c r="E87" s="40"/>
      <c r="F87" s="40"/>
      <c r="G87" s="29" t="s">
        <v>21</v>
      </c>
      <c r="H87" s="30">
        <v>27003155</v>
      </c>
      <c r="I87" s="31" t="s">
        <v>22</v>
      </c>
      <c r="J87" s="29" t="s">
        <v>21</v>
      </c>
      <c r="K87" s="30">
        <f>SUM(K88:K111)</f>
        <v>27003155</v>
      </c>
      <c r="L87" s="31" t="s">
        <v>22</v>
      </c>
      <c r="M87" s="32"/>
      <c r="N87" s="33"/>
      <c r="O87" s="30"/>
      <c r="P87" s="34"/>
      <c r="Q87" s="33"/>
      <c r="R87" s="45"/>
      <c r="S87" s="46"/>
      <c r="T87" s="46"/>
      <c r="U87" s="47"/>
      <c r="V87" s="171">
        <f t="shared" si="4"/>
        <v>0</v>
      </c>
      <c r="W87" s="171"/>
    </row>
    <row r="88" spans="1:24" ht="18.75" customHeight="1" x14ac:dyDescent="0.15">
      <c r="A88" s="58"/>
      <c r="B88" s="40"/>
      <c r="C88" s="40" t="s">
        <v>47</v>
      </c>
      <c r="D88" s="42"/>
      <c r="E88" s="40"/>
      <c r="F88" s="40"/>
      <c r="G88" s="29"/>
      <c r="H88" s="30">
        <v>13600000</v>
      </c>
      <c r="I88" s="31"/>
      <c r="J88" s="29"/>
      <c r="K88" s="30">
        <f>M88+N88+O88+P88+Q88+S88+T88</f>
        <v>13600000</v>
      </c>
      <c r="L88" s="31"/>
      <c r="M88" s="32">
        <v>2880000</v>
      </c>
      <c r="N88" s="33">
        <v>4480000</v>
      </c>
      <c r="O88" s="30">
        <v>800000</v>
      </c>
      <c r="P88" s="34">
        <v>1440000</v>
      </c>
      <c r="Q88" s="33">
        <v>1280000</v>
      </c>
      <c r="R88" s="45"/>
      <c r="S88" s="46">
        <v>480000</v>
      </c>
      <c r="T88" s="46">
        <v>2240000</v>
      </c>
      <c r="U88" s="47"/>
      <c r="V88" s="171">
        <f t="shared" si="4"/>
        <v>10880000</v>
      </c>
      <c r="W88" s="171"/>
      <c r="X88" s="171">
        <f>SUM(S88:V88)</f>
        <v>13600000</v>
      </c>
    </row>
    <row r="89" spans="1:24" ht="18.75" customHeight="1" x14ac:dyDescent="0.15">
      <c r="A89" s="58"/>
      <c r="B89" s="40"/>
      <c r="C89" s="40" t="s">
        <v>164</v>
      </c>
      <c r="D89" s="42"/>
      <c r="E89" s="40"/>
      <c r="F89" s="40"/>
      <c r="G89" s="29"/>
      <c r="H89" s="30">
        <v>0</v>
      </c>
      <c r="I89" s="31"/>
      <c r="J89" s="29"/>
      <c r="K89" s="30">
        <f t="shared" ref="K89:K111" si="5">M89+N89+O89+P89+Q89+S89+T89</f>
        <v>0</v>
      </c>
      <c r="L89" s="31"/>
      <c r="M89" s="32"/>
      <c r="N89" s="33"/>
      <c r="O89" s="30"/>
      <c r="P89" s="34"/>
      <c r="Q89" s="33"/>
      <c r="R89" s="45"/>
      <c r="S89" s="46"/>
      <c r="T89" s="46"/>
      <c r="U89" s="47"/>
      <c r="V89" s="171">
        <f t="shared" si="4"/>
        <v>0</v>
      </c>
      <c r="W89" s="171"/>
    </row>
    <row r="90" spans="1:24" ht="18.75" customHeight="1" x14ac:dyDescent="0.15">
      <c r="A90" s="58"/>
      <c r="B90" s="40"/>
      <c r="C90" s="40" t="s">
        <v>48</v>
      </c>
      <c r="D90" s="42"/>
      <c r="E90" s="40"/>
      <c r="F90" s="40"/>
      <c r="G90" s="29"/>
      <c r="H90" s="30">
        <v>202513</v>
      </c>
      <c r="I90" s="31"/>
      <c r="J90" s="29"/>
      <c r="K90" s="30">
        <v>202513</v>
      </c>
      <c r="L90" s="31"/>
      <c r="M90" s="32">
        <v>42885</v>
      </c>
      <c r="N90" s="33">
        <v>66710</v>
      </c>
      <c r="O90" s="30">
        <v>11913</v>
      </c>
      <c r="P90" s="34">
        <v>21443</v>
      </c>
      <c r="Q90" s="33">
        <v>19060</v>
      </c>
      <c r="R90" s="45"/>
      <c r="S90" s="46">
        <v>7148</v>
      </c>
      <c r="T90" s="46">
        <v>33355</v>
      </c>
      <c r="U90" s="47"/>
      <c r="V90" s="171">
        <f t="shared" si="4"/>
        <v>162011</v>
      </c>
      <c r="W90" s="171"/>
    </row>
    <row r="91" spans="1:24" ht="18.75" customHeight="1" x14ac:dyDescent="0.15">
      <c r="A91" s="58"/>
      <c r="B91" s="40"/>
      <c r="C91" s="40" t="s">
        <v>49</v>
      </c>
      <c r="D91" s="42"/>
      <c r="E91" s="40"/>
      <c r="F91" s="40"/>
      <c r="G91" s="29"/>
      <c r="H91" s="30">
        <v>1870000</v>
      </c>
      <c r="I91" s="31"/>
      <c r="J91" s="29"/>
      <c r="K91" s="30">
        <v>1870000</v>
      </c>
      <c r="L91" s="31"/>
      <c r="M91" s="32">
        <v>396000</v>
      </c>
      <c r="N91" s="33">
        <v>616000</v>
      </c>
      <c r="O91" s="30">
        <v>110000</v>
      </c>
      <c r="P91" s="34">
        <v>198000</v>
      </c>
      <c r="Q91" s="33">
        <v>176000</v>
      </c>
      <c r="R91" s="45"/>
      <c r="S91" s="46">
        <v>66000</v>
      </c>
      <c r="T91" s="46">
        <v>308000</v>
      </c>
      <c r="U91" s="47"/>
      <c r="V91" s="171">
        <f t="shared" si="4"/>
        <v>1496000</v>
      </c>
      <c r="W91" s="171"/>
    </row>
    <row r="92" spans="1:24" ht="18.75" customHeight="1" x14ac:dyDescent="0.15">
      <c r="A92" s="58"/>
      <c r="B92" s="40"/>
      <c r="C92" s="40" t="s">
        <v>50</v>
      </c>
      <c r="D92" s="42"/>
      <c r="E92" s="40"/>
      <c r="F92" s="40"/>
      <c r="G92" s="29"/>
      <c r="H92" s="30">
        <v>425850</v>
      </c>
      <c r="I92" s="31"/>
      <c r="J92" s="29"/>
      <c r="K92" s="30">
        <v>425850</v>
      </c>
      <c r="L92" s="31"/>
      <c r="M92" s="32">
        <v>90180</v>
      </c>
      <c r="N92" s="33">
        <v>140280</v>
      </c>
      <c r="O92" s="30">
        <v>25050</v>
      </c>
      <c r="P92" s="34">
        <v>45090</v>
      </c>
      <c r="Q92" s="33">
        <v>40080</v>
      </c>
      <c r="R92" s="45"/>
      <c r="S92" s="46">
        <v>15030</v>
      </c>
      <c r="T92" s="46">
        <v>70140</v>
      </c>
      <c r="U92" s="47"/>
      <c r="V92" s="171">
        <f t="shared" si="4"/>
        <v>340680</v>
      </c>
      <c r="W92" s="171"/>
    </row>
    <row r="93" spans="1:24" ht="18.75" customHeight="1" x14ac:dyDescent="0.15">
      <c r="A93" s="58"/>
      <c r="B93" s="40"/>
      <c r="C93" s="40" t="s">
        <v>51</v>
      </c>
      <c r="D93" s="42"/>
      <c r="E93" s="40"/>
      <c r="F93" s="40"/>
      <c r="G93" s="29"/>
      <c r="H93" s="30">
        <v>1265792</v>
      </c>
      <c r="I93" s="31"/>
      <c r="J93" s="29"/>
      <c r="K93" s="30">
        <v>1265792</v>
      </c>
      <c r="L93" s="31"/>
      <c r="M93" s="32">
        <v>268050</v>
      </c>
      <c r="N93" s="33">
        <v>416967</v>
      </c>
      <c r="O93" s="30">
        <v>74458</v>
      </c>
      <c r="P93" s="34">
        <v>134025</v>
      </c>
      <c r="Q93" s="33">
        <v>119133</v>
      </c>
      <c r="R93" s="45"/>
      <c r="S93" s="46">
        <v>44675</v>
      </c>
      <c r="T93" s="46">
        <v>208483</v>
      </c>
      <c r="U93" s="47"/>
      <c r="V93" s="171">
        <f t="shared" si="4"/>
        <v>1012633</v>
      </c>
      <c r="W93" s="171"/>
    </row>
    <row r="94" spans="1:24" ht="18.75" customHeight="1" x14ac:dyDescent="0.15">
      <c r="A94" s="58"/>
      <c r="B94" s="40"/>
      <c r="C94" s="40" t="s">
        <v>52</v>
      </c>
      <c r="D94" s="42"/>
      <c r="E94" s="40"/>
      <c r="F94" s="40"/>
      <c r="G94" s="29"/>
      <c r="H94" s="30">
        <v>56100</v>
      </c>
      <c r="I94" s="31"/>
      <c r="J94" s="29"/>
      <c r="K94" s="30">
        <v>56100</v>
      </c>
      <c r="L94" s="31"/>
      <c r="M94" s="32">
        <v>11880</v>
      </c>
      <c r="N94" s="33">
        <v>18480</v>
      </c>
      <c r="O94" s="30">
        <v>3300</v>
      </c>
      <c r="P94" s="34">
        <v>5940</v>
      </c>
      <c r="Q94" s="33">
        <v>5280</v>
      </c>
      <c r="R94" s="45"/>
      <c r="S94" s="46">
        <v>1980</v>
      </c>
      <c r="T94" s="46">
        <v>9240</v>
      </c>
      <c r="U94" s="47"/>
      <c r="V94" s="171">
        <f t="shared" si="4"/>
        <v>44880</v>
      </c>
      <c r="W94" s="171"/>
    </row>
    <row r="95" spans="1:24" ht="18.75" customHeight="1" x14ac:dyDescent="0.15">
      <c r="A95" s="58"/>
      <c r="B95" s="40"/>
      <c r="C95" s="40" t="s">
        <v>53</v>
      </c>
      <c r="D95" s="42"/>
      <c r="E95" s="40"/>
      <c r="F95" s="40"/>
      <c r="G95" s="29"/>
      <c r="H95" s="30">
        <v>85000</v>
      </c>
      <c r="I95" s="31"/>
      <c r="J95" s="29"/>
      <c r="K95" s="30">
        <v>85000</v>
      </c>
      <c r="L95" s="31"/>
      <c r="M95" s="32">
        <v>18000</v>
      </c>
      <c r="N95" s="33">
        <v>28000</v>
      </c>
      <c r="O95" s="30">
        <v>5000</v>
      </c>
      <c r="P95" s="34">
        <v>9000</v>
      </c>
      <c r="Q95" s="33">
        <v>8000</v>
      </c>
      <c r="R95" s="45"/>
      <c r="S95" s="46">
        <v>3000</v>
      </c>
      <c r="T95" s="46">
        <v>14000</v>
      </c>
      <c r="U95" s="47"/>
      <c r="V95" s="171">
        <f t="shared" si="4"/>
        <v>68000</v>
      </c>
      <c r="W95" s="171"/>
    </row>
    <row r="96" spans="1:24" ht="18.75" customHeight="1" x14ac:dyDescent="0.15">
      <c r="A96" s="307"/>
      <c r="B96" s="40"/>
      <c r="C96" s="40" t="s">
        <v>54</v>
      </c>
      <c r="D96" s="42"/>
      <c r="E96" s="40"/>
      <c r="F96" s="40"/>
      <c r="G96" s="29"/>
      <c r="H96" s="30">
        <v>624750</v>
      </c>
      <c r="I96" s="31"/>
      <c r="J96" s="29"/>
      <c r="K96" s="30">
        <v>624750</v>
      </c>
      <c r="L96" s="31"/>
      <c r="M96" s="32">
        <v>132300</v>
      </c>
      <c r="N96" s="33">
        <v>205800</v>
      </c>
      <c r="O96" s="30">
        <v>36750</v>
      </c>
      <c r="P96" s="34">
        <v>66150</v>
      </c>
      <c r="Q96" s="33">
        <v>58800</v>
      </c>
      <c r="R96" s="45"/>
      <c r="S96" s="46">
        <v>22050</v>
      </c>
      <c r="T96" s="46">
        <v>102900</v>
      </c>
      <c r="U96" s="47"/>
      <c r="V96" s="171">
        <f t="shared" si="4"/>
        <v>499800</v>
      </c>
      <c r="W96" s="171"/>
    </row>
    <row r="97" spans="1:23" ht="18.75" customHeight="1" x14ac:dyDescent="0.15">
      <c r="A97" s="58"/>
      <c r="B97" s="40"/>
      <c r="C97" s="40" t="s">
        <v>55</v>
      </c>
      <c r="D97" s="42"/>
      <c r="E97" s="40"/>
      <c r="F97" s="40"/>
      <c r="G97" s="29"/>
      <c r="H97" s="30">
        <v>85000</v>
      </c>
      <c r="I97" s="31"/>
      <c r="J97" s="29"/>
      <c r="K97" s="30">
        <f t="shared" si="5"/>
        <v>85000</v>
      </c>
      <c r="L97" s="31"/>
      <c r="M97" s="32">
        <v>18000</v>
      </c>
      <c r="N97" s="33">
        <v>28000</v>
      </c>
      <c r="O97" s="30">
        <v>5000</v>
      </c>
      <c r="P97" s="34">
        <v>9000</v>
      </c>
      <c r="Q97" s="33">
        <v>8000</v>
      </c>
      <c r="R97" s="45"/>
      <c r="S97" s="46">
        <v>3000</v>
      </c>
      <c r="T97" s="46">
        <v>14000</v>
      </c>
      <c r="U97" s="47"/>
      <c r="V97" s="171">
        <f t="shared" si="4"/>
        <v>68000</v>
      </c>
      <c r="W97" s="171"/>
    </row>
    <row r="98" spans="1:23" ht="18.75" customHeight="1" x14ac:dyDescent="0.15">
      <c r="A98" s="58"/>
      <c r="B98" s="40"/>
      <c r="C98" s="40" t="s">
        <v>56</v>
      </c>
      <c r="D98" s="42"/>
      <c r="E98" s="40"/>
      <c r="F98" s="40"/>
      <c r="G98" s="29"/>
      <c r="H98" s="30">
        <v>566100</v>
      </c>
      <c r="I98" s="31"/>
      <c r="J98" s="29"/>
      <c r="K98" s="30">
        <f t="shared" si="5"/>
        <v>566100</v>
      </c>
      <c r="L98" s="31"/>
      <c r="M98" s="32">
        <v>119880</v>
      </c>
      <c r="N98" s="33">
        <v>186480</v>
      </c>
      <c r="O98" s="30">
        <v>33300</v>
      </c>
      <c r="P98" s="34">
        <v>59940</v>
      </c>
      <c r="Q98" s="33">
        <v>53280</v>
      </c>
      <c r="R98" s="45"/>
      <c r="S98" s="46">
        <v>19980</v>
      </c>
      <c r="T98" s="46">
        <v>93240</v>
      </c>
      <c r="U98" s="47"/>
      <c r="V98" s="171">
        <f t="shared" si="4"/>
        <v>452880</v>
      </c>
      <c r="W98" s="171"/>
    </row>
    <row r="99" spans="1:23" ht="18.75" customHeight="1" x14ac:dyDescent="0.15">
      <c r="A99" s="58"/>
      <c r="B99" s="40"/>
      <c r="C99" s="40" t="s">
        <v>57</v>
      </c>
      <c r="D99" s="42"/>
      <c r="E99" s="40"/>
      <c r="F99" s="40"/>
      <c r="G99" s="29"/>
      <c r="H99" s="30">
        <v>0</v>
      </c>
      <c r="I99" s="31"/>
      <c r="J99" s="29"/>
      <c r="K99" s="30">
        <f t="shared" si="5"/>
        <v>0</v>
      </c>
      <c r="L99" s="31"/>
      <c r="M99" s="32"/>
      <c r="N99" s="33"/>
      <c r="O99" s="30"/>
      <c r="P99" s="34"/>
      <c r="Q99" s="33"/>
      <c r="R99" s="45"/>
      <c r="S99" s="46"/>
      <c r="T99" s="46"/>
      <c r="U99" s="47"/>
      <c r="V99" s="171">
        <f t="shared" si="4"/>
        <v>0</v>
      </c>
      <c r="W99" s="171"/>
    </row>
    <row r="100" spans="1:23" ht="18.75" customHeight="1" x14ac:dyDescent="0.15">
      <c r="A100" s="58"/>
      <c r="B100" s="40"/>
      <c r="C100" s="40" t="s">
        <v>58</v>
      </c>
      <c r="D100" s="42"/>
      <c r="E100" s="40"/>
      <c r="F100" s="40"/>
      <c r="G100" s="29"/>
      <c r="H100" s="30">
        <v>340000</v>
      </c>
      <c r="I100" s="31"/>
      <c r="J100" s="29"/>
      <c r="K100" s="30">
        <f t="shared" si="5"/>
        <v>340000</v>
      </c>
      <c r="L100" s="31"/>
      <c r="M100" s="32">
        <v>72000</v>
      </c>
      <c r="N100" s="33">
        <v>112000</v>
      </c>
      <c r="O100" s="30">
        <v>20000</v>
      </c>
      <c r="P100" s="34">
        <v>36000</v>
      </c>
      <c r="Q100" s="33">
        <v>32000</v>
      </c>
      <c r="R100" s="45"/>
      <c r="S100" s="46">
        <v>12000</v>
      </c>
      <c r="T100" s="46">
        <v>56000</v>
      </c>
      <c r="U100" s="47"/>
      <c r="V100" s="171">
        <f t="shared" si="4"/>
        <v>272000</v>
      </c>
      <c r="W100" s="171"/>
    </row>
    <row r="101" spans="1:23" ht="18.75" customHeight="1" x14ac:dyDescent="0.15">
      <c r="A101" s="58"/>
      <c r="B101" s="40"/>
      <c r="C101" s="40" t="s">
        <v>59</v>
      </c>
      <c r="D101" s="42"/>
      <c r="E101" s="40"/>
      <c r="F101" s="40"/>
      <c r="G101" s="29"/>
      <c r="H101" s="30">
        <v>4675000</v>
      </c>
      <c r="I101" s="31"/>
      <c r="J101" s="29"/>
      <c r="K101" s="30">
        <f t="shared" si="5"/>
        <v>4675000</v>
      </c>
      <c r="L101" s="31"/>
      <c r="M101" s="32">
        <v>990000</v>
      </c>
      <c r="N101" s="33">
        <v>1540000</v>
      </c>
      <c r="O101" s="30">
        <v>275000</v>
      </c>
      <c r="P101" s="34">
        <v>495000</v>
      </c>
      <c r="Q101" s="33">
        <v>440000</v>
      </c>
      <c r="R101" s="45"/>
      <c r="S101" s="46">
        <v>165000</v>
      </c>
      <c r="T101" s="46">
        <v>770000</v>
      </c>
      <c r="U101" s="47"/>
      <c r="V101" s="171">
        <f t="shared" si="4"/>
        <v>3740000</v>
      </c>
      <c r="W101" s="171"/>
    </row>
    <row r="102" spans="1:23" ht="18.75" customHeight="1" x14ac:dyDescent="0.15">
      <c r="A102" s="58"/>
      <c r="B102" s="40"/>
      <c r="C102" s="40" t="s">
        <v>60</v>
      </c>
      <c r="D102" s="42"/>
      <c r="E102" s="40"/>
      <c r="F102" s="40"/>
      <c r="G102" s="29"/>
      <c r="H102" s="30">
        <v>170000</v>
      </c>
      <c r="I102" s="31"/>
      <c r="J102" s="29"/>
      <c r="K102" s="30">
        <f t="shared" si="5"/>
        <v>170000</v>
      </c>
      <c r="L102" s="31"/>
      <c r="M102" s="32">
        <v>36000</v>
      </c>
      <c r="N102" s="33">
        <v>56000</v>
      </c>
      <c r="O102" s="30">
        <v>10000</v>
      </c>
      <c r="P102" s="34">
        <v>18000</v>
      </c>
      <c r="Q102" s="33">
        <v>16000</v>
      </c>
      <c r="R102" s="45"/>
      <c r="S102" s="46">
        <v>6000</v>
      </c>
      <c r="T102" s="46">
        <v>28000</v>
      </c>
      <c r="U102" s="47"/>
      <c r="V102" s="171">
        <f t="shared" si="4"/>
        <v>136000</v>
      </c>
      <c r="W102" s="171"/>
    </row>
    <row r="103" spans="1:23" ht="18.75" customHeight="1" x14ac:dyDescent="0.15">
      <c r="A103" s="58"/>
      <c r="B103" s="40"/>
      <c r="C103" s="40" t="s">
        <v>61</v>
      </c>
      <c r="D103" s="42"/>
      <c r="E103" s="40"/>
      <c r="F103" s="40"/>
      <c r="G103" s="29"/>
      <c r="H103" s="30">
        <v>8500</v>
      </c>
      <c r="I103" s="31"/>
      <c r="J103" s="29"/>
      <c r="K103" s="30">
        <v>8500</v>
      </c>
      <c r="L103" s="31"/>
      <c r="M103" s="32">
        <v>1800</v>
      </c>
      <c r="N103" s="33">
        <v>2800</v>
      </c>
      <c r="O103" s="30">
        <v>500</v>
      </c>
      <c r="P103" s="34">
        <v>900</v>
      </c>
      <c r="Q103" s="33">
        <v>800</v>
      </c>
      <c r="R103" s="45"/>
      <c r="S103" s="46">
        <v>300</v>
      </c>
      <c r="T103" s="46">
        <v>1400</v>
      </c>
      <c r="U103" s="47"/>
      <c r="V103" s="171">
        <f t="shared" si="4"/>
        <v>6800</v>
      </c>
      <c r="W103" s="171"/>
    </row>
    <row r="104" spans="1:23" ht="18.75" customHeight="1" x14ac:dyDescent="0.15">
      <c r="A104" s="58"/>
      <c r="B104" s="40"/>
      <c r="C104" s="40" t="s">
        <v>62</v>
      </c>
      <c r="D104" s="42"/>
      <c r="E104" s="40"/>
      <c r="F104" s="40"/>
      <c r="G104" s="29"/>
      <c r="H104" s="30">
        <v>875500</v>
      </c>
      <c r="I104" s="31"/>
      <c r="J104" s="29"/>
      <c r="K104" s="30">
        <f t="shared" si="5"/>
        <v>875500</v>
      </c>
      <c r="L104" s="31"/>
      <c r="M104" s="32">
        <v>185400</v>
      </c>
      <c r="N104" s="33">
        <v>288400</v>
      </c>
      <c r="O104" s="30">
        <v>51500</v>
      </c>
      <c r="P104" s="34">
        <v>92700</v>
      </c>
      <c r="Q104" s="33">
        <v>82400</v>
      </c>
      <c r="R104" s="45"/>
      <c r="S104" s="46">
        <v>30900</v>
      </c>
      <c r="T104" s="46">
        <v>144200</v>
      </c>
      <c r="U104" s="47"/>
      <c r="V104" s="171">
        <f t="shared" si="4"/>
        <v>700400</v>
      </c>
      <c r="W104" s="171"/>
    </row>
    <row r="105" spans="1:23" ht="18.75" customHeight="1" x14ac:dyDescent="0.15">
      <c r="A105" s="58"/>
      <c r="B105" s="40"/>
      <c r="C105" s="40" t="s">
        <v>63</v>
      </c>
      <c r="D105" s="42"/>
      <c r="E105" s="40"/>
      <c r="F105" s="40"/>
      <c r="G105" s="29"/>
      <c r="H105" s="30">
        <v>850000</v>
      </c>
      <c r="I105" s="31"/>
      <c r="J105" s="29"/>
      <c r="K105" s="30">
        <v>850000</v>
      </c>
      <c r="L105" s="31"/>
      <c r="M105" s="32">
        <v>180000</v>
      </c>
      <c r="N105" s="33">
        <v>280000</v>
      </c>
      <c r="O105" s="30">
        <v>50000</v>
      </c>
      <c r="P105" s="34">
        <v>90000</v>
      </c>
      <c r="Q105" s="33">
        <v>80000</v>
      </c>
      <c r="R105" s="45"/>
      <c r="S105" s="46">
        <v>30000</v>
      </c>
      <c r="T105" s="46">
        <v>140000</v>
      </c>
      <c r="U105" s="47"/>
      <c r="V105" s="171">
        <f t="shared" si="4"/>
        <v>680000</v>
      </c>
      <c r="W105" s="171"/>
    </row>
    <row r="106" spans="1:23" ht="18.75" customHeight="1" x14ac:dyDescent="0.15">
      <c r="A106" s="58"/>
      <c r="B106" s="40"/>
      <c r="C106" s="40" t="s">
        <v>64</v>
      </c>
      <c r="D106" s="42"/>
      <c r="E106" s="40"/>
      <c r="F106" s="40"/>
      <c r="G106" s="29"/>
      <c r="H106" s="30">
        <v>42500</v>
      </c>
      <c r="I106" s="31"/>
      <c r="J106" s="29"/>
      <c r="K106" s="30">
        <f t="shared" si="5"/>
        <v>42500</v>
      </c>
      <c r="L106" s="31"/>
      <c r="M106" s="32">
        <v>9000</v>
      </c>
      <c r="N106" s="33">
        <v>14000</v>
      </c>
      <c r="O106" s="30">
        <v>2500</v>
      </c>
      <c r="P106" s="34">
        <v>4500</v>
      </c>
      <c r="Q106" s="33">
        <v>4000</v>
      </c>
      <c r="R106" s="45"/>
      <c r="S106" s="46">
        <v>1500</v>
      </c>
      <c r="T106" s="46">
        <v>7000</v>
      </c>
      <c r="U106" s="47"/>
      <c r="V106" s="171">
        <f t="shared" si="4"/>
        <v>34000</v>
      </c>
      <c r="W106" s="171"/>
    </row>
    <row r="107" spans="1:23" ht="18.75" customHeight="1" x14ac:dyDescent="0.15">
      <c r="A107" s="58"/>
      <c r="B107" s="40"/>
      <c r="C107" s="40" t="s">
        <v>65</v>
      </c>
      <c r="D107" s="42"/>
      <c r="E107" s="40"/>
      <c r="F107" s="40"/>
      <c r="G107" s="29"/>
      <c r="H107" s="30">
        <v>255000</v>
      </c>
      <c r="I107" s="31"/>
      <c r="J107" s="29"/>
      <c r="K107" s="30">
        <v>255000</v>
      </c>
      <c r="L107" s="31"/>
      <c r="M107" s="32">
        <v>54000</v>
      </c>
      <c r="N107" s="33">
        <v>84000</v>
      </c>
      <c r="O107" s="30">
        <v>15000</v>
      </c>
      <c r="P107" s="34">
        <v>27000</v>
      </c>
      <c r="Q107" s="33">
        <v>24000</v>
      </c>
      <c r="R107" s="45"/>
      <c r="S107" s="46">
        <v>9000</v>
      </c>
      <c r="T107" s="46">
        <v>42000</v>
      </c>
      <c r="U107" s="47"/>
      <c r="V107" s="171">
        <f t="shared" si="4"/>
        <v>204000</v>
      </c>
      <c r="W107" s="171"/>
    </row>
    <row r="108" spans="1:23" ht="18.75" customHeight="1" x14ac:dyDescent="0.15">
      <c r="A108" s="307"/>
      <c r="B108" s="40"/>
      <c r="C108" s="40" t="s">
        <v>66</v>
      </c>
      <c r="D108" s="42"/>
      <c r="E108" s="40"/>
      <c r="F108" s="40"/>
      <c r="G108" s="29"/>
      <c r="H108" s="30">
        <v>442000</v>
      </c>
      <c r="I108" s="31"/>
      <c r="J108" s="29"/>
      <c r="K108" s="30">
        <f t="shared" si="5"/>
        <v>442000</v>
      </c>
      <c r="L108" s="31"/>
      <c r="M108" s="32">
        <v>93600</v>
      </c>
      <c r="N108" s="33">
        <v>145600</v>
      </c>
      <c r="O108" s="30">
        <v>26000</v>
      </c>
      <c r="P108" s="34">
        <v>46800</v>
      </c>
      <c r="Q108" s="33">
        <v>41600</v>
      </c>
      <c r="R108" s="45"/>
      <c r="S108" s="46">
        <v>15600</v>
      </c>
      <c r="T108" s="46">
        <v>72800</v>
      </c>
      <c r="U108" s="47"/>
      <c r="V108" s="171">
        <f t="shared" si="4"/>
        <v>353600</v>
      </c>
      <c r="W108" s="171"/>
    </row>
    <row r="109" spans="1:23" ht="18.75" customHeight="1" x14ac:dyDescent="0.15">
      <c r="A109" s="58"/>
      <c r="B109" s="40"/>
      <c r="C109" s="56" t="s">
        <v>100</v>
      </c>
      <c r="D109" s="57"/>
      <c r="E109" s="40"/>
      <c r="F109" s="40"/>
      <c r="G109" s="29"/>
      <c r="H109" s="30">
        <v>255000</v>
      </c>
      <c r="I109" s="31"/>
      <c r="J109" s="29"/>
      <c r="K109" s="30">
        <f t="shared" si="5"/>
        <v>255000</v>
      </c>
      <c r="L109" s="31"/>
      <c r="M109" s="32">
        <v>54000</v>
      </c>
      <c r="N109" s="33">
        <v>84000</v>
      </c>
      <c r="O109" s="30">
        <v>15000</v>
      </c>
      <c r="P109" s="34">
        <v>27000</v>
      </c>
      <c r="Q109" s="33">
        <v>24000</v>
      </c>
      <c r="R109" s="45"/>
      <c r="S109" s="46">
        <v>9000</v>
      </c>
      <c r="T109" s="46">
        <v>42000</v>
      </c>
      <c r="U109" s="47"/>
      <c r="V109" s="171">
        <f t="shared" si="4"/>
        <v>204000</v>
      </c>
      <c r="W109" s="171"/>
    </row>
    <row r="110" spans="1:23" ht="18.75" customHeight="1" x14ac:dyDescent="0.15">
      <c r="A110" s="58"/>
      <c r="B110" s="40"/>
      <c r="C110" s="56" t="s">
        <v>67</v>
      </c>
      <c r="D110" s="57"/>
      <c r="E110" s="40"/>
      <c r="F110" s="40"/>
      <c r="G110" s="29"/>
      <c r="H110" s="30">
        <v>308550</v>
      </c>
      <c r="I110" s="31"/>
      <c r="J110" s="29"/>
      <c r="K110" s="30">
        <v>308550</v>
      </c>
      <c r="L110" s="31"/>
      <c r="M110" s="32">
        <v>65340</v>
      </c>
      <c r="N110" s="33">
        <v>101640</v>
      </c>
      <c r="O110" s="30">
        <v>18150</v>
      </c>
      <c r="P110" s="34">
        <v>32670</v>
      </c>
      <c r="Q110" s="33">
        <v>29040</v>
      </c>
      <c r="R110" s="45"/>
      <c r="S110" s="46">
        <v>10890</v>
      </c>
      <c r="T110" s="46">
        <v>50820</v>
      </c>
      <c r="U110" s="47"/>
      <c r="V110" s="171">
        <f t="shared" si="4"/>
        <v>246840</v>
      </c>
      <c r="W110" s="171"/>
    </row>
    <row r="111" spans="1:23" ht="18.75" customHeight="1" x14ac:dyDescent="0.15">
      <c r="A111" s="58"/>
      <c r="B111" s="40"/>
      <c r="C111" s="56" t="s">
        <v>101</v>
      </c>
      <c r="D111" s="57"/>
      <c r="E111" s="40"/>
      <c r="F111" s="40"/>
      <c r="G111" s="29"/>
      <c r="H111" s="30">
        <v>0</v>
      </c>
      <c r="I111" s="31"/>
      <c r="J111" s="29"/>
      <c r="K111" s="30">
        <f t="shared" si="5"/>
        <v>0</v>
      </c>
      <c r="L111" s="31"/>
      <c r="M111" s="32">
        <v>0</v>
      </c>
      <c r="N111" s="33">
        <v>0</v>
      </c>
      <c r="O111" s="30">
        <v>0</v>
      </c>
      <c r="P111" s="34">
        <v>0</v>
      </c>
      <c r="Q111" s="33">
        <v>0</v>
      </c>
      <c r="R111" s="45"/>
      <c r="S111" s="46">
        <v>0</v>
      </c>
      <c r="T111" s="46">
        <v>0</v>
      </c>
      <c r="U111" s="47"/>
      <c r="V111" s="171">
        <f t="shared" si="4"/>
        <v>0</v>
      </c>
      <c r="W111" s="171"/>
    </row>
    <row r="112" spans="1:23" ht="18.75" customHeight="1" x14ac:dyDescent="0.15">
      <c r="A112" s="58"/>
      <c r="B112" s="40" t="s">
        <v>68</v>
      </c>
      <c r="C112" s="40"/>
      <c r="D112" s="42"/>
      <c r="E112" s="40"/>
      <c r="F112" s="40"/>
      <c r="G112" s="29" t="s">
        <v>21</v>
      </c>
      <c r="H112" s="30">
        <v>9941932</v>
      </c>
      <c r="I112" s="31" t="s">
        <v>22</v>
      </c>
      <c r="J112" s="29" t="s">
        <v>21</v>
      </c>
      <c r="K112" s="30">
        <f>SUM(K113:K140)</f>
        <v>9941932</v>
      </c>
      <c r="L112" s="31" t="s">
        <v>22</v>
      </c>
      <c r="M112" s="32"/>
      <c r="N112" s="33"/>
      <c r="O112" s="30"/>
      <c r="P112" s="34"/>
      <c r="Q112" s="33"/>
      <c r="R112" s="45"/>
      <c r="S112" s="46"/>
      <c r="T112" s="46"/>
      <c r="U112" s="47"/>
      <c r="V112" s="171">
        <f t="shared" si="4"/>
        <v>0</v>
      </c>
      <c r="W112" s="171"/>
    </row>
    <row r="113" spans="1:23" ht="17.25" customHeight="1" x14ac:dyDescent="0.15">
      <c r="A113" s="58"/>
      <c r="B113" s="40"/>
      <c r="C113" s="40" t="s">
        <v>47</v>
      </c>
      <c r="D113" s="42"/>
      <c r="E113" s="40"/>
      <c r="F113" s="40"/>
      <c r="G113" s="29"/>
      <c r="H113" s="30">
        <v>2400000</v>
      </c>
      <c r="I113" s="31"/>
      <c r="J113" s="29"/>
      <c r="K113" s="30">
        <f>U113</f>
        <v>2400000</v>
      </c>
      <c r="L113" s="31"/>
      <c r="M113" s="32"/>
      <c r="N113" s="33"/>
      <c r="O113" s="30"/>
      <c r="P113" s="34"/>
      <c r="Q113" s="33"/>
      <c r="R113" s="45"/>
      <c r="S113" s="46"/>
      <c r="T113" s="46"/>
      <c r="U113" s="47">
        <v>2400000</v>
      </c>
      <c r="V113" s="171">
        <f t="shared" si="4"/>
        <v>0</v>
      </c>
      <c r="W113" s="171"/>
    </row>
    <row r="114" spans="1:23" ht="17.25" customHeight="1" x14ac:dyDescent="0.15">
      <c r="A114" s="58"/>
      <c r="B114" s="40"/>
      <c r="C114" s="40" t="s">
        <v>164</v>
      </c>
      <c r="D114" s="42"/>
      <c r="E114" s="40"/>
      <c r="F114" s="40"/>
      <c r="G114" s="29"/>
      <c r="H114" s="30">
        <v>0</v>
      </c>
      <c r="I114" s="31"/>
      <c r="J114" s="29"/>
      <c r="K114" s="30">
        <f t="shared" ref="K114:K140" si="6">U114</f>
        <v>0</v>
      </c>
      <c r="L114" s="31"/>
      <c r="M114" s="32"/>
      <c r="N114" s="33"/>
      <c r="O114" s="30"/>
      <c r="P114" s="34"/>
      <c r="Q114" s="33"/>
      <c r="R114" s="45"/>
      <c r="S114" s="46"/>
      <c r="T114" s="46"/>
      <c r="U114" s="47">
        <v>0</v>
      </c>
      <c r="V114" s="171">
        <f t="shared" si="4"/>
        <v>0</v>
      </c>
      <c r="W114" s="171"/>
    </row>
    <row r="115" spans="1:23" ht="17.25" customHeight="1" x14ac:dyDescent="0.15">
      <c r="A115" s="58"/>
      <c r="B115" s="40"/>
      <c r="C115" s="40" t="s">
        <v>48</v>
      </c>
      <c r="D115" s="42"/>
      <c r="E115" s="40"/>
      <c r="F115" s="40"/>
      <c r="G115" s="29"/>
      <c r="H115" s="30">
        <v>35737</v>
      </c>
      <c r="I115" s="31"/>
      <c r="J115" s="29"/>
      <c r="K115" s="30">
        <v>35737</v>
      </c>
      <c r="L115" s="31"/>
      <c r="M115" s="32"/>
      <c r="N115" s="33"/>
      <c r="O115" s="30"/>
      <c r="P115" s="34"/>
      <c r="Q115" s="33"/>
      <c r="R115" s="45"/>
      <c r="S115" s="46"/>
      <c r="T115" s="46"/>
      <c r="U115" s="226">
        <v>35737</v>
      </c>
      <c r="V115" s="171">
        <f t="shared" si="4"/>
        <v>0</v>
      </c>
      <c r="W115" s="171"/>
    </row>
    <row r="116" spans="1:23" ht="17.25" customHeight="1" x14ac:dyDescent="0.15">
      <c r="A116" s="58"/>
      <c r="B116" s="40"/>
      <c r="C116" s="40" t="s">
        <v>49</v>
      </c>
      <c r="D116" s="42"/>
      <c r="E116" s="40"/>
      <c r="F116" s="40"/>
      <c r="G116" s="29"/>
      <c r="H116" s="30">
        <v>330000</v>
      </c>
      <c r="I116" s="31"/>
      <c r="J116" s="29"/>
      <c r="K116" s="30">
        <v>330000</v>
      </c>
      <c r="L116" s="31"/>
      <c r="M116" s="32"/>
      <c r="N116" s="33"/>
      <c r="O116" s="30"/>
      <c r="P116" s="34"/>
      <c r="Q116" s="33"/>
      <c r="R116" s="45"/>
      <c r="S116" s="46"/>
      <c r="T116" s="46"/>
      <c r="U116" s="47">
        <v>330000</v>
      </c>
      <c r="V116" s="171">
        <f t="shared" si="4"/>
        <v>0</v>
      </c>
      <c r="W116" s="171"/>
    </row>
    <row r="117" spans="1:23" ht="17.25" customHeight="1" x14ac:dyDescent="0.15">
      <c r="A117" s="58"/>
      <c r="B117" s="40"/>
      <c r="C117" s="40" t="s">
        <v>69</v>
      </c>
      <c r="D117" s="42"/>
      <c r="E117" s="40"/>
      <c r="F117" s="40"/>
      <c r="G117" s="29"/>
      <c r="H117" s="30">
        <v>3856670</v>
      </c>
      <c r="I117" s="31"/>
      <c r="J117" s="29"/>
      <c r="K117" s="30">
        <v>3856670</v>
      </c>
      <c r="L117" s="31"/>
      <c r="M117" s="32"/>
      <c r="N117" s="33"/>
      <c r="O117" s="30"/>
      <c r="P117" s="34"/>
      <c r="Q117" s="33"/>
      <c r="R117" s="45"/>
      <c r="S117" s="46"/>
      <c r="T117" s="46"/>
      <c r="U117" s="47">
        <v>3856670</v>
      </c>
      <c r="V117" s="171">
        <f t="shared" si="4"/>
        <v>0</v>
      </c>
      <c r="W117" s="171"/>
    </row>
    <row r="118" spans="1:23" ht="17.25" customHeight="1" x14ac:dyDescent="0.15">
      <c r="A118" s="58"/>
      <c r="B118" s="40"/>
      <c r="C118" s="40" t="s">
        <v>50</v>
      </c>
      <c r="D118" s="42"/>
      <c r="E118" s="40"/>
      <c r="F118" s="40"/>
      <c r="G118" s="29"/>
      <c r="H118" s="30">
        <v>75150</v>
      </c>
      <c r="I118" s="31"/>
      <c r="J118" s="29"/>
      <c r="K118" s="30">
        <v>75150</v>
      </c>
      <c r="L118" s="31"/>
      <c r="M118" s="32"/>
      <c r="N118" s="33"/>
      <c r="O118" s="30"/>
      <c r="P118" s="34"/>
      <c r="Q118" s="33"/>
      <c r="R118" s="45"/>
      <c r="S118" s="46"/>
      <c r="T118" s="46"/>
      <c r="U118" s="47">
        <v>75150</v>
      </c>
      <c r="V118" s="171">
        <f t="shared" si="4"/>
        <v>0</v>
      </c>
      <c r="W118" s="171"/>
    </row>
    <row r="119" spans="1:23" ht="17.25" customHeight="1" x14ac:dyDescent="0.15">
      <c r="A119" s="58"/>
      <c r="B119" s="40"/>
      <c r="C119" s="40" t="s">
        <v>51</v>
      </c>
      <c r="D119" s="42"/>
      <c r="E119" s="40"/>
      <c r="F119" s="40"/>
      <c r="G119" s="29"/>
      <c r="H119" s="30">
        <v>223375</v>
      </c>
      <c r="I119" s="31"/>
      <c r="J119" s="29"/>
      <c r="K119" s="30">
        <v>223375</v>
      </c>
      <c r="L119" s="31"/>
      <c r="M119" s="32"/>
      <c r="N119" s="33"/>
      <c r="O119" s="30"/>
      <c r="P119" s="34"/>
      <c r="Q119" s="33"/>
      <c r="R119" s="45"/>
      <c r="S119" s="46"/>
      <c r="T119" s="46"/>
      <c r="U119" s="47">
        <v>223375</v>
      </c>
      <c r="V119" s="171">
        <f t="shared" si="4"/>
        <v>0</v>
      </c>
      <c r="W119" s="171"/>
    </row>
    <row r="120" spans="1:23" ht="17.25" customHeight="1" x14ac:dyDescent="0.15">
      <c r="A120" s="58"/>
      <c r="B120" s="40"/>
      <c r="C120" s="40" t="s">
        <v>52</v>
      </c>
      <c r="D120" s="42"/>
      <c r="E120" s="40"/>
      <c r="F120" s="40"/>
      <c r="G120" s="29"/>
      <c r="H120" s="30">
        <v>9900</v>
      </c>
      <c r="I120" s="31"/>
      <c r="J120" s="29"/>
      <c r="K120" s="30">
        <v>9900</v>
      </c>
      <c r="L120" s="31"/>
      <c r="M120" s="32"/>
      <c r="N120" s="33"/>
      <c r="O120" s="30"/>
      <c r="P120" s="34"/>
      <c r="Q120" s="33"/>
      <c r="R120" s="45"/>
      <c r="S120" s="46"/>
      <c r="T120" s="46"/>
      <c r="U120" s="47">
        <v>9900</v>
      </c>
      <c r="V120" s="171">
        <f t="shared" si="4"/>
        <v>0</v>
      </c>
      <c r="W120" s="171"/>
    </row>
    <row r="121" spans="1:23" ht="17.25" customHeight="1" x14ac:dyDescent="0.15">
      <c r="A121" s="58"/>
      <c r="B121" s="40"/>
      <c r="C121" s="40" t="s">
        <v>53</v>
      </c>
      <c r="D121" s="42"/>
      <c r="E121" s="40"/>
      <c r="F121" s="40"/>
      <c r="G121" s="29"/>
      <c r="H121" s="30">
        <v>15000</v>
      </c>
      <c r="I121" s="31"/>
      <c r="J121" s="29"/>
      <c r="K121" s="30">
        <v>15000</v>
      </c>
      <c r="L121" s="31"/>
      <c r="M121" s="32"/>
      <c r="N121" s="33"/>
      <c r="O121" s="30"/>
      <c r="P121" s="34"/>
      <c r="Q121" s="33"/>
      <c r="R121" s="45"/>
      <c r="S121" s="46"/>
      <c r="T121" s="46"/>
      <c r="U121" s="47">
        <v>15000</v>
      </c>
      <c r="V121" s="171">
        <f t="shared" si="4"/>
        <v>0</v>
      </c>
      <c r="W121" s="171"/>
    </row>
    <row r="122" spans="1:23" ht="17.25" customHeight="1" x14ac:dyDescent="0.15">
      <c r="A122" s="58"/>
      <c r="B122" s="40"/>
      <c r="C122" s="40" t="s">
        <v>54</v>
      </c>
      <c r="D122" s="42"/>
      <c r="E122" s="40"/>
      <c r="F122" s="40"/>
      <c r="G122" s="29"/>
      <c r="H122" s="30">
        <v>110250</v>
      </c>
      <c r="I122" s="31"/>
      <c r="J122" s="29"/>
      <c r="K122" s="30">
        <v>110250</v>
      </c>
      <c r="L122" s="31"/>
      <c r="M122" s="32"/>
      <c r="N122" s="33"/>
      <c r="O122" s="30"/>
      <c r="P122" s="34"/>
      <c r="Q122" s="33"/>
      <c r="R122" s="45"/>
      <c r="S122" s="46"/>
      <c r="T122" s="46"/>
      <c r="U122" s="47">
        <v>110250</v>
      </c>
      <c r="V122" s="171">
        <f t="shared" si="4"/>
        <v>0</v>
      </c>
      <c r="W122" s="171"/>
    </row>
    <row r="123" spans="1:23" ht="17.25" customHeight="1" x14ac:dyDescent="0.15">
      <c r="A123" s="58"/>
      <c r="B123" s="40"/>
      <c r="C123" s="40" t="s">
        <v>55</v>
      </c>
      <c r="D123" s="42"/>
      <c r="E123" s="40"/>
      <c r="F123" s="40"/>
      <c r="G123" s="29"/>
      <c r="H123" s="30">
        <v>15000</v>
      </c>
      <c r="I123" s="31"/>
      <c r="J123" s="29"/>
      <c r="K123" s="30">
        <f t="shared" si="6"/>
        <v>15000</v>
      </c>
      <c r="L123" s="31"/>
      <c r="M123" s="32"/>
      <c r="N123" s="33"/>
      <c r="O123" s="30"/>
      <c r="P123" s="34"/>
      <c r="Q123" s="33"/>
      <c r="R123" s="45"/>
      <c r="S123" s="46"/>
      <c r="T123" s="46"/>
      <c r="U123" s="47">
        <v>15000</v>
      </c>
      <c r="V123" s="171">
        <f t="shared" si="4"/>
        <v>0</v>
      </c>
      <c r="W123" s="171"/>
    </row>
    <row r="124" spans="1:23" ht="17.25" customHeight="1" x14ac:dyDescent="0.15">
      <c r="A124" s="58"/>
      <c r="B124" s="40"/>
      <c r="C124" s="40" t="s">
        <v>56</v>
      </c>
      <c r="D124" s="42"/>
      <c r="E124" s="40"/>
      <c r="F124" s="40"/>
      <c r="G124" s="29"/>
      <c r="H124" s="30">
        <v>99900</v>
      </c>
      <c r="I124" s="31"/>
      <c r="J124" s="29"/>
      <c r="K124" s="30">
        <f t="shared" si="6"/>
        <v>99900</v>
      </c>
      <c r="L124" s="31"/>
      <c r="M124" s="32"/>
      <c r="N124" s="33"/>
      <c r="O124" s="30"/>
      <c r="P124" s="34"/>
      <c r="Q124" s="33"/>
      <c r="R124" s="45"/>
      <c r="S124" s="46"/>
      <c r="T124" s="46"/>
      <c r="U124" s="47">
        <v>99900</v>
      </c>
      <c r="V124" s="171">
        <f t="shared" si="4"/>
        <v>0</v>
      </c>
      <c r="W124" s="171"/>
    </row>
    <row r="125" spans="1:23" ht="17.25" customHeight="1" x14ac:dyDescent="0.15">
      <c r="A125" s="58"/>
      <c r="B125" s="40"/>
      <c r="C125" s="40" t="s">
        <v>57</v>
      </c>
      <c r="D125" s="42"/>
      <c r="E125" s="40"/>
      <c r="F125" s="40"/>
      <c r="G125" s="29"/>
      <c r="H125" s="30">
        <v>0</v>
      </c>
      <c r="I125" s="31"/>
      <c r="J125" s="29"/>
      <c r="K125" s="30">
        <f t="shared" si="6"/>
        <v>0</v>
      </c>
      <c r="L125" s="31"/>
      <c r="M125" s="32"/>
      <c r="N125" s="33"/>
      <c r="O125" s="30"/>
      <c r="P125" s="34"/>
      <c r="Q125" s="33"/>
      <c r="R125" s="45"/>
      <c r="S125" s="46"/>
      <c r="T125" s="46"/>
      <c r="U125" s="47">
        <v>0</v>
      </c>
      <c r="V125" s="171">
        <f t="shared" si="4"/>
        <v>0</v>
      </c>
      <c r="W125" s="171"/>
    </row>
    <row r="126" spans="1:23" ht="17.25" customHeight="1" x14ac:dyDescent="0.15">
      <c r="A126" s="58"/>
      <c r="B126" s="40"/>
      <c r="C126" s="40" t="s">
        <v>58</v>
      </c>
      <c r="D126" s="42"/>
      <c r="E126" s="40"/>
      <c r="F126" s="40"/>
      <c r="G126" s="29"/>
      <c r="H126" s="30">
        <v>60000</v>
      </c>
      <c r="I126" s="31"/>
      <c r="J126" s="29"/>
      <c r="K126" s="30">
        <f t="shared" si="6"/>
        <v>60000</v>
      </c>
      <c r="L126" s="31"/>
      <c r="M126" s="32"/>
      <c r="N126" s="33"/>
      <c r="O126" s="30"/>
      <c r="P126" s="34"/>
      <c r="Q126" s="33"/>
      <c r="R126" s="45"/>
      <c r="S126" s="46"/>
      <c r="T126" s="46"/>
      <c r="U126" s="47">
        <v>60000</v>
      </c>
      <c r="V126" s="171">
        <f t="shared" si="4"/>
        <v>0</v>
      </c>
      <c r="W126" s="171"/>
    </row>
    <row r="127" spans="1:23" ht="17.25" customHeight="1" x14ac:dyDescent="0.15">
      <c r="A127" s="307"/>
      <c r="B127" s="40"/>
      <c r="C127" s="40" t="s">
        <v>59</v>
      </c>
      <c r="D127" s="42"/>
      <c r="E127" s="40"/>
      <c r="F127" s="40"/>
      <c r="G127" s="29"/>
      <c r="H127" s="30">
        <v>825000</v>
      </c>
      <c r="I127" s="31"/>
      <c r="J127" s="29"/>
      <c r="K127" s="30">
        <f t="shared" si="6"/>
        <v>825000</v>
      </c>
      <c r="L127" s="31"/>
      <c r="M127" s="32"/>
      <c r="N127" s="33"/>
      <c r="O127" s="30"/>
      <c r="P127" s="34"/>
      <c r="Q127" s="33"/>
      <c r="R127" s="45"/>
      <c r="S127" s="46"/>
      <c r="T127" s="46"/>
      <c r="U127" s="47">
        <v>825000</v>
      </c>
      <c r="V127" s="171">
        <f t="shared" si="4"/>
        <v>0</v>
      </c>
      <c r="W127" s="171"/>
    </row>
    <row r="128" spans="1:23" ht="17.25" customHeight="1" x14ac:dyDescent="0.15">
      <c r="A128" s="307"/>
      <c r="B128" s="40"/>
      <c r="C128" s="40" t="s">
        <v>60</v>
      </c>
      <c r="D128" s="42"/>
      <c r="E128" s="40"/>
      <c r="F128" s="40"/>
      <c r="G128" s="29"/>
      <c r="H128" s="30">
        <v>30000</v>
      </c>
      <c r="I128" s="31"/>
      <c r="J128" s="29"/>
      <c r="K128" s="30">
        <f t="shared" si="6"/>
        <v>30000</v>
      </c>
      <c r="L128" s="31"/>
      <c r="M128" s="32"/>
      <c r="N128" s="33"/>
      <c r="O128" s="30"/>
      <c r="P128" s="34"/>
      <c r="Q128" s="33"/>
      <c r="R128" s="45"/>
      <c r="S128" s="46"/>
      <c r="T128" s="46"/>
      <c r="U128" s="47">
        <v>30000</v>
      </c>
      <c r="V128" s="171">
        <f t="shared" si="4"/>
        <v>0</v>
      </c>
      <c r="W128" s="171"/>
    </row>
    <row r="129" spans="1:24" ht="17.25" customHeight="1" x14ac:dyDescent="0.15">
      <c r="A129" s="307"/>
      <c r="B129" s="40"/>
      <c r="C129" s="40" t="s">
        <v>61</v>
      </c>
      <c r="D129" s="42"/>
      <c r="E129" s="40"/>
      <c r="F129" s="40"/>
      <c r="G129" s="29"/>
      <c r="H129" s="30">
        <v>1500</v>
      </c>
      <c r="I129" s="31"/>
      <c r="J129" s="29"/>
      <c r="K129" s="30">
        <v>1500</v>
      </c>
      <c r="L129" s="31"/>
      <c r="M129" s="32"/>
      <c r="N129" s="33"/>
      <c r="O129" s="30"/>
      <c r="P129" s="34"/>
      <c r="Q129" s="33"/>
      <c r="R129" s="45"/>
      <c r="S129" s="46"/>
      <c r="T129" s="46"/>
      <c r="U129" s="47">
        <v>1500</v>
      </c>
      <c r="V129" s="171">
        <f t="shared" si="4"/>
        <v>0</v>
      </c>
      <c r="W129" s="171"/>
    </row>
    <row r="130" spans="1:24" ht="17.25" customHeight="1" x14ac:dyDescent="0.15">
      <c r="A130" s="307"/>
      <c r="B130" s="40"/>
      <c r="C130" s="40" t="s">
        <v>62</v>
      </c>
      <c r="D130" s="42"/>
      <c r="E130" s="40"/>
      <c r="F130" s="40"/>
      <c r="G130" s="29"/>
      <c r="H130" s="30">
        <v>154500</v>
      </c>
      <c r="I130" s="31"/>
      <c r="J130" s="29"/>
      <c r="K130" s="30">
        <v>154500</v>
      </c>
      <c r="L130" s="31"/>
      <c r="M130" s="32"/>
      <c r="N130" s="33"/>
      <c r="O130" s="30"/>
      <c r="P130" s="34"/>
      <c r="Q130" s="33"/>
      <c r="R130" s="45"/>
      <c r="S130" s="46"/>
      <c r="T130" s="46"/>
      <c r="U130" s="47">
        <v>154500</v>
      </c>
      <c r="V130" s="171">
        <f t="shared" si="4"/>
        <v>0</v>
      </c>
      <c r="W130" s="171"/>
    </row>
    <row r="131" spans="1:24" ht="17.25" customHeight="1" x14ac:dyDescent="0.15">
      <c r="A131" s="307"/>
      <c r="B131" s="40"/>
      <c r="C131" s="40" t="s">
        <v>70</v>
      </c>
      <c r="D131" s="42"/>
      <c r="E131" s="40"/>
      <c r="F131" s="40"/>
      <c r="G131" s="29"/>
      <c r="H131" s="30">
        <v>540000</v>
      </c>
      <c r="I131" s="31"/>
      <c r="J131" s="29"/>
      <c r="K131" s="30">
        <v>540000</v>
      </c>
      <c r="L131" s="31"/>
      <c r="M131" s="32"/>
      <c r="N131" s="33"/>
      <c r="O131" s="30"/>
      <c r="P131" s="34"/>
      <c r="Q131" s="33"/>
      <c r="R131" s="45"/>
      <c r="S131" s="46"/>
      <c r="T131" s="46"/>
      <c r="U131" s="47">
        <v>540000</v>
      </c>
      <c r="V131" s="171">
        <f t="shared" si="4"/>
        <v>0</v>
      </c>
      <c r="W131" s="171"/>
    </row>
    <row r="132" spans="1:24" ht="17.25" customHeight="1" x14ac:dyDescent="0.15">
      <c r="A132" s="58"/>
      <c r="B132" s="40"/>
      <c r="C132" s="40" t="s">
        <v>71</v>
      </c>
      <c r="D132" s="42"/>
      <c r="E132" s="40"/>
      <c r="F132" s="40"/>
      <c r="G132" s="29"/>
      <c r="H132" s="30">
        <v>200000</v>
      </c>
      <c r="I132" s="31"/>
      <c r="J132" s="29"/>
      <c r="K132" s="30">
        <v>200000</v>
      </c>
      <c r="L132" s="31"/>
      <c r="M132" s="32"/>
      <c r="N132" s="33"/>
      <c r="O132" s="30"/>
      <c r="P132" s="34"/>
      <c r="Q132" s="33"/>
      <c r="R132" s="45"/>
      <c r="S132" s="46"/>
      <c r="T132" s="46"/>
      <c r="U132" s="47">
        <v>200000</v>
      </c>
      <c r="V132" s="171">
        <f t="shared" si="4"/>
        <v>0</v>
      </c>
      <c r="W132" s="171"/>
    </row>
    <row r="133" spans="1:24" ht="17.25" customHeight="1" x14ac:dyDescent="0.15">
      <c r="A133" s="58"/>
      <c r="B133" s="40"/>
      <c r="C133" s="40" t="s">
        <v>63</v>
      </c>
      <c r="D133" s="42"/>
      <c r="E133" s="40"/>
      <c r="F133" s="40"/>
      <c r="G133" s="29"/>
      <c r="H133" s="30">
        <v>150000</v>
      </c>
      <c r="I133" s="31"/>
      <c r="J133" s="29"/>
      <c r="K133" s="30">
        <v>150000</v>
      </c>
      <c r="L133" s="31"/>
      <c r="M133" s="32"/>
      <c r="N133" s="33"/>
      <c r="O133" s="30"/>
      <c r="P133" s="34"/>
      <c r="Q133" s="33"/>
      <c r="R133" s="45"/>
      <c r="S133" s="46"/>
      <c r="T133" s="46"/>
      <c r="U133" s="47">
        <v>150000</v>
      </c>
      <c r="V133" s="171">
        <f t="shared" si="4"/>
        <v>0</v>
      </c>
      <c r="W133" s="171"/>
    </row>
    <row r="134" spans="1:24" ht="17.25" customHeight="1" x14ac:dyDescent="0.15">
      <c r="A134" s="58"/>
      <c r="B134" s="40"/>
      <c r="C134" s="40" t="s">
        <v>72</v>
      </c>
      <c r="D134" s="42"/>
      <c r="E134" s="40"/>
      <c r="F134" s="40"/>
      <c r="G134" s="29"/>
      <c r="H134" s="30">
        <v>580000</v>
      </c>
      <c r="I134" s="31"/>
      <c r="J134" s="29"/>
      <c r="K134" s="30">
        <f t="shared" si="6"/>
        <v>580000</v>
      </c>
      <c r="L134" s="31"/>
      <c r="M134" s="32"/>
      <c r="N134" s="33"/>
      <c r="O134" s="30"/>
      <c r="P134" s="34"/>
      <c r="Q134" s="33"/>
      <c r="R134" s="45"/>
      <c r="S134" s="46"/>
      <c r="T134" s="46"/>
      <c r="U134" s="47">
        <v>580000</v>
      </c>
      <c r="V134" s="171">
        <f t="shared" si="4"/>
        <v>0</v>
      </c>
      <c r="W134" s="171"/>
    </row>
    <row r="135" spans="1:24" ht="17.25" customHeight="1" x14ac:dyDescent="0.15">
      <c r="A135" s="58"/>
      <c r="B135" s="40"/>
      <c r="C135" s="40" t="s">
        <v>64</v>
      </c>
      <c r="D135" s="42"/>
      <c r="E135" s="40"/>
      <c r="F135" s="40"/>
      <c r="G135" s="29"/>
      <c r="H135" s="30">
        <v>7500</v>
      </c>
      <c r="I135" s="31"/>
      <c r="J135" s="29"/>
      <c r="K135" s="30">
        <f t="shared" si="6"/>
        <v>7500</v>
      </c>
      <c r="L135" s="31"/>
      <c r="M135" s="32"/>
      <c r="N135" s="33"/>
      <c r="O135" s="30"/>
      <c r="P135" s="34"/>
      <c r="Q135" s="33"/>
      <c r="R135" s="45"/>
      <c r="S135" s="46"/>
      <c r="T135" s="46"/>
      <c r="U135" s="47">
        <v>7500</v>
      </c>
      <c r="V135" s="171">
        <f t="shared" si="4"/>
        <v>0</v>
      </c>
      <c r="W135" s="171"/>
    </row>
    <row r="136" spans="1:24" ht="17.25" customHeight="1" x14ac:dyDescent="0.15">
      <c r="A136" s="58"/>
      <c r="B136" s="40"/>
      <c r="C136" s="40" t="s">
        <v>65</v>
      </c>
      <c r="D136" s="42"/>
      <c r="E136" s="40"/>
      <c r="F136" s="40"/>
      <c r="G136" s="29"/>
      <c r="H136" s="30">
        <v>45000</v>
      </c>
      <c r="I136" s="31"/>
      <c r="J136" s="29"/>
      <c r="K136" s="30">
        <v>45000</v>
      </c>
      <c r="L136" s="31"/>
      <c r="M136" s="32"/>
      <c r="N136" s="33"/>
      <c r="O136" s="30"/>
      <c r="P136" s="34"/>
      <c r="Q136" s="33"/>
      <c r="R136" s="45"/>
      <c r="S136" s="46"/>
      <c r="T136" s="46"/>
      <c r="U136" s="47">
        <v>45000</v>
      </c>
      <c r="V136" s="171">
        <f t="shared" si="4"/>
        <v>0</v>
      </c>
      <c r="W136" s="171"/>
    </row>
    <row r="137" spans="1:24" ht="17.25" customHeight="1" x14ac:dyDescent="0.15">
      <c r="A137" s="58"/>
      <c r="B137" s="40"/>
      <c r="C137" s="40" t="s">
        <v>66</v>
      </c>
      <c r="D137" s="42"/>
      <c r="E137" s="40"/>
      <c r="F137" s="40"/>
      <c r="G137" s="29"/>
      <c r="H137" s="30">
        <v>78000</v>
      </c>
      <c r="I137" s="31"/>
      <c r="J137" s="29"/>
      <c r="K137" s="30">
        <f t="shared" si="6"/>
        <v>78000</v>
      </c>
      <c r="L137" s="31"/>
      <c r="M137" s="32"/>
      <c r="N137" s="33"/>
      <c r="O137" s="30"/>
      <c r="P137" s="34"/>
      <c r="Q137" s="33"/>
      <c r="R137" s="45"/>
      <c r="S137" s="46"/>
      <c r="T137" s="46"/>
      <c r="U137" s="47">
        <v>78000</v>
      </c>
      <c r="V137" s="171">
        <f t="shared" si="4"/>
        <v>0</v>
      </c>
      <c r="W137" s="171"/>
    </row>
    <row r="138" spans="1:24" ht="17.25" customHeight="1" x14ac:dyDescent="0.15">
      <c r="A138" s="58"/>
      <c r="B138" s="40"/>
      <c r="C138" s="40" t="s">
        <v>100</v>
      </c>
      <c r="D138" s="42"/>
      <c r="E138" s="40"/>
      <c r="F138" s="40"/>
      <c r="G138" s="29"/>
      <c r="H138" s="30">
        <v>45000</v>
      </c>
      <c r="I138" s="31"/>
      <c r="J138" s="29"/>
      <c r="K138" s="30">
        <f t="shared" si="6"/>
        <v>45000</v>
      </c>
      <c r="L138" s="31"/>
      <c r="M138" s="32"/>
      <c r="N138" s="33"/>
      <c r="O138" s="30"/>
      <c r="P138" s="34"/>
      <c r="Q138" s="33"/>
      <c r="R138" s="45"/>
      <c r="S138" s="46"/>
      <c r="T138" s="46"/>
      <c r="U138" s="47">
        <v>45000</v>
      </c>
      <c r="V138" s="171">
        <f t="shared" si="4"/>
        <v>0</v>
      </c>
      <c r="W138" s="171"/>
    </row>
    <row r="139" spans="1:24" ht="17.25" customHeight="1" x14ac:dyDescent="0.15">
      <c r="A139" s="58"/>
      <c r="B139" s="40"/>
      <c r="C139" s="40" t="s">
        <v>67</v>
      </c>
      <c r="D139" s="42"/>
      <c r="E139" s="40"/>
      <c r="F139" s="40"/>
      <c r="G139" s="29"/>
      <c r="H139" s="30">
        <v>54450</v>
      </c>
      <c r="I139" s="31"/>
      <c r="J139" s="29"/>
      <c r="K139" s="30">
        <v>54450</v>
      </c>
      <c r="L139" s="31"/>
      <c r="M139" s="32"/>
      <c r="N139" s="33"/>
      <c r="O139" s="30"/>
      <c r="P139" s="34"/>
      <c r="Q139" s="33"/>
      <c r="R139" s="45"/>
      <c r="S139" s="46"/>
      <c r="T139" s="46"/>
      <c r="U139" s="47">
        <v>54450</v>
      </c>
      <c r="V139" s="171">
        <f t="shared" si="4"/>
        <v>0</v>
      </c>
      <c r="W139" s="171"/>
    </row>
    <row r="140" spans="1:24" ht="17.25" customHeight="1" x14ac:dyDescent="0.15">
      <c r="A140" s="75"/>
      <c r="B140" s="2"/>
      <c r="C140" s="2" t="s">
        <v>101</v>
      </c>
      <c r="D140" s="76"/>
      <c r="G140" s="49"/>
      <c r="H140" s="44">
        <v>0</v>
      </c>
      <c r="I140" s="50"/>
      <c r="J140" s="49"/>
      <c r="K140" s="30">
        <f t="shared" si="6"/>
        <v>0</v>
      </c>
      <c r="L140" s="50"/>
      <c r="M140" s="51"/>
      <c r="N140" s="52"/>
      <c r="O140" s="44"/>
      <c r="P140" s="53"/>
      <c r="Q140" s="52"/>
      <c r="R140" s="188"/>
      <c r="S140" s="183"/>
      <c r="T140" s="183"/>
      <c r="U140" s="184">
        <v>0</v>
      </c>
      <c r="V140" s="171">
        <f t="shared" ref="V140:V141" si="7">M140+N140+O140+P140+Q140+R140</f>
        <v>0</v>
      </c>
      <c r="W140" s="171"/>
      <c r="X140" s="171">
        <f>SUM(U113:U140)</f>
        <v>9941932</v>
      </c>
    </row>
    <row r="141" spans="1:24" ht="17.25" customHeight="1" x14ac:dyDescent="0.15">
      <c r="A141" s="63"/>
      <c r="B141" s="65" t="s">
        <v>73</v>
      </c>
      <c r="C141" s="80"/>
      <c r="D141" s="64"/>
      <c r="E141" s="65"/>
      <c r="F141" s="65"/>
      <c r="G141" s="81"/>
      <c r="H141" s="82">
        <f>H37+H87+H112</f>
        <v>80690484</v>
      </c>
      <c r="I141" s="83"/>
      <c r="J141" s="81"/>
      <c r="K141" s="82">
        <f>K37+K87+K112</f>
        <v>80690484</v>
      </c>
      <c r="L141" s="83"/>
      <c r="M141" s="84">
        <f>SUM(M38:M140)</f>
        <v>10147315</v>
      </c>
      <c r="N141" s="85">
        <f t="shared" ref="N141:U141" si="8">SUM(N38:N140)</f>
        <v>20557357</v>
      </c>
      <c r="O141" s="82">
        <f t="shared" si="8"/>
        <v>2686421</v>
      </c>
      <c r="P141" s="86">
        <f t="shared" si="8"/>
        <v>5911708</v>
      </c>
      <c r="Q141" s="85">
        <f t="shared" si="8"/>
        <v>7186473</v>
      </c>
      <c r="R141" s="72">
        <f t="shared" si="8"/>
        <v>0</v>
      </c>
      <c r="S141" s="73">
        <f t="shared" si="8"/>
        <v>953053</v>
      </c>
      <c r="T141" s="73">
        <f t="shared" si="8"/>
        <v>23306225</v>
      </c>
      <c r="U141" s="87">
        <f t="shared" si="8"/>
        <v>9941932</v>
      </c>
      <c r="V141" s="171">
        <f t="shared" si="7"/>
        <v>46489274</v>
      </c>
      <c r="W141" s="171"/>
      <c r="X141" s="171">
        <f>SUM(S141:V141)</f>
        <v>80690484</v>
      </c>
    </row>
    <row r="142" spans="1:24" ht="20.25" customHeight="1" thickBot="1" x14ac:dyDescent="0.2">
      <c r="A142" s="88"/>
      <c r="B142" s="89" t="s">
        <v>74</v>
      </c>
      <c r="C142" s="90"/>
      <c r="D142" s="91"/>
      <c r="E142" s="89"/>
      <c r="F142" s="89"/>
      <c r="G142" s="92"/>
      <c r="H142" s="218">
        <f>H35-H141</f>
        <v>-6357884</v>
      </c>
      <c r="I142" s="94"/>
      <c r="J142" s="92"/>
      <c r="K142" s="93">
        <f>K35-K141</f>
        <v>-6357884</v>
      </c>
      <c r="L142" s="94"/>
      <c r="M142" s="95">
        <f t="shared" ref="M142:U142" si="9">M35-M141</f>
        <v>-1262882</v>
      </c>
      <c r="N142" s="189">
        <f t="shared" si="9"/>
        <v>-2772028</v>
      </c>
      <c r="O142" s="93">
        <f t="shared" si="9"/>
        <v>-321448</v>
      </c>
      <c r="P142" s="96">
        <f t="shared" si="9"/>
        <v>-736437</v>
      </c>
      <c r="Q142" s="189">
        <f t="shared" si="9"/>
        <v>236121</v>
      </c>
      <c r="R142" s="97">
        <f t="shared" si="9"/>
        <v>0</v>
      </c>
      <c r="S142" s="98">
        <f t="shared" si="9"/>
        <v>696947</v>
      </c>
      <c r="T142" s="98">
        <f t="shared" si="9"/>
        <v>-1356825</v>
      </c>
      <c r="U142" s="99">
        <f t="shared" si="9"/>
        <v>-376632</v>
      </c>
      <c r="V142" s="171">
        <f t="shared" ref="V142:V143" si="10">M142+N142+O142+P142+Q142+R142+S142+T142+U142</f>
        <v>-5893184</v>
      </c>
    </row>
    <row r="143" spans="1:24" ht="22.5" customHeight="1" x14ac:dyDescent="0.15">
      <c r="A143" s="100"/>
      <c r="B143" s="101"/>
      <c r="C143" s="102"/>
      <c r="D143" s="103"/>
      <c r="E143" s="101"/>
      <c r="F143" s="101"/>
      <c r="G143" s="104"/>
      <c r="H143" s="105"/>
      <c r="I143" s="106"/>
      <c r="J143" s="104"/>
      <c r="K143" s="107"/>
      <c r="L143" s="106"/>
      <c r="M143" s="108"/>
      <c r="N143" s="109"/>
      <c r="O143" s="110"/>
      <c r="P143" s="111"/>
      <c r="Q143" s="1"/>
      <c r="R143" s="190"/>
      <c r="S143" s="112"/>
      <c r="T143" s="112"/>
      <c r="U143" s="113"/>
      <c r="V143" s="171">
        <f t="shared" si="10"/>
        <v>0</v>
      </c>
    </row>
    <row r="144" spans="1:24" ht="22.5" customHeight="1" x14ac:dyDescent="0.15">
      <c r="A144" s="100"/>
      <c r="B144" s="101"/>
      <c r="C144" s="102"/>
      <c r="D144" s="103"/>
      <c r="E144" s="101"/>
      <c r="F144" s="101"/>
      <c r="G144" s="104"/>
      <c r="H144" s="105"/>
      <c r="I144" s="106"/>
      <c r="J144" s="104"/>
      <c r="K144" s="114"/>
      <c r="L144" s="106"/>
      <c r="M144" s="108"/>
      <c r="N144" s="109"/>
      <c r="O144" s="110"/>
      <c r="P144" s="86"/>
      <c r="Q144" s="141"/>
      <c r="R144" s="144"/>
      <c r="S144" s="112"/>
      <c r="T144" s="112"/>
      <c r="U144" s="113"/>
    </row>
    <row r="145" spans="1:21" ht="22.5" customHeight="1" x14ac:dyDescent="0.15">
      <c r="A145" s="374" t="s">
        <v>75</v>
      </c>
      <c r="B145" s="375"/>
      <c r="C145" s="375"/>
      <c r="D145" s="375"/>
      <c r="E145" s="375"/>
      <c r="F145" s="376"/>
      <c r="G145" s="117"/>
      <c r="H145" s="114">
        <f>H142</f>
        <v>-6357884</v>
      </c>
      <c r="I145" s="118"/>
      <c r="J145" s="119"/>
      <c r="K145" s="120">
        <f>K142</f>
        <v>-6357884</v>
      </c>
      <c r="L145" s="83"/>
      <c r="M145" s="84"/>
      <c r="N145" s="85"/>
      <c r="O145" s="139"/>
      <c r="P145" s="121"/>
      <c r="Q145" s="142"/>
      <c r="R145" s="145"/>
      <c r="S145" s="122"/>
      <c r="T145" s="122"/>
      <c r="U145" s="123"/>
    </row>
    <row r="146" spans="1:21" ht="20.25" customHeight="1" x14ac:dyDescent="0.15">
      <c r="A146" s="115"/>
      <c r="B146" s="124" t="s">
        <v>76</v>
      </c>
      <c r="C146" s="116"/>
      <c r="D146" s="116"/>
      <c r="E146" s="116"/>
      <c r="F146" s="116"/>
      <c r="G146" s="117"/>
      <c r="H146" s="82">
        <v>69224790</v>
      </c>
      <c r="I146" s="118"/>
      <c r="J146" s="119"/>
      <c r="K146" s="125"/>
      <c r="L146" s="83"/>
      <c r="M146" s="84"/>
      <c r="N146" s="85"/>
      <c r="O146" s="139"/>
      <c r="P146" s="121"/>
      <c r="Q146" s="142"/>
      <c r="R146" s="145"/>
      <c r="S146" s="122"/>
      <c r="T146" s="122"/>
      <c r="U146" s="123"/>
    </row>
    <row r="147" spans="1:21" ht="20.25" customHeight="1" x14ac:dyDescent="0.15">
      <c r="A147" s="115"/>
      <c r="B147" s="124" t="s">
        <v>77</v>
      </c>
      <c r="C147" s="116"/>
      <c r="D147" s="116"/>
      <c r="E147" s="116"/>
      <c r="F147" s="116"/>
      <c r="G147" s="117"/>
      <c r="H147" s="82">
        <f>SUM(H145:H146)</f>
        <v>62866906</v>
      </c>
      <c r="I147" s="118"/>
      <c r="J147" s="119"/>
      <c r="K147" s="82"/>
      <c r="L147" s="83"/>
      <c r="M147" s="84"/>
      <c r="N147" s="85"/>
      <c r="O147" s="139"/>
      <c r="P147" s="121"/>
      <c r="Q147" s="142"/>
      <c r="R147" s="145"/>
      <c r="S147" s="122"/>
      <c r="T147" s="122"/>
      <c r="U147" s="123"/>
    </row>
    <row r="148" spans="1:21" ht="20.25" customHeight="1" thickBot="1" x14ac:dyDescent="0.2">
      <c r="A148" s="126" t="s">
        <v>78</v>
      </c>
      <c r="B148" s="127"/>
      <c r="C148" s="128"/>
      <c r="D148" s="128"/>
      <c r="E148" s="128"/>
      <c r="F148" s="128"/>
      <c r="G148" s="129"/>
      <c r="H148" s="130">
        <f>H147</f>
        <v>62866906</v>
      </c>
      <c r="I148" s="131"/>
      <c r="J148" s="132"/>
      <c r="K148" s="130"/>
      <c r="L148" s="94"/>
      <c r="M148" s="133"/>
      <c r="N148" s="134"/>
      <c r="O148" s="140"/>
      <c r="P148" s="135"/>
      <c r="Q148" s="143"/>
      <c r="R148" s="146"/>
      <c r="S148" s="136"/>
      <c r="T148" s="136"/>
      <c r="U148" s="137"/>
    </row>
    <row r="149" spans="1:21" ht="26.25" customHeight="1" x14ac:dyDescent="0.15">
      <c r="B149" s="2" t="s">
        <v>99</v>
      </c>
      <c r="C149" s="2"/>
      <c r="D149" s="166"/>
      <c r="E149" s="166"/>
      <c r="L149" s="3"/>
      <c r="M149" s="2"/>
      <c r="N149" s="167"/>
      <c r="O149" s="167"/>
      <c r="P149" s="167"/>
    </row>
    <row r="150" spans="1:21" ht="30" customHeight="1" x14ac:dyDescent="0.15">
      <c r="B150" s="364" t="s">
        <v>84</v>
      </c>
      <c r="C150" s="364"/>
      <c r="D150" s="364"/>
      <c r="E150" s="364"/>
      <c r="F150" s="364"/>
      <c r="G150" s="185"/>
      <c r="H150" s="365"/>
      <c r="I150" s="365"/>
      <c r="J150" s="343"/>
      <c r="K150" s="343"/>
      <c r="L150" s="343"/>
      <c r="M150" s="343"/>
      <c r="N150" s="343"/>
      <c r="O150" s="343"/>
      <c r="R150" s="138"/>
      <c r="S150" s="138"/>
      <c r="T150" s="138"/>
      <c r="U150" s="138"/>
    </row>
    <row r="151" spans="1:21" x14ac:dyDescent="0.15">
      <c r="B151" s="2"/>
      <c r="E151" s="1"/>
      <c r="M151" s="2"/>
      <c r="N151" s="4"/>
      <c r="O151" s="4"/>
    </row>
  </sheetData>
  <mergeCells count="23">
    <mergeCell ref="B150:F150"/>
    <mergeCell ref="H150:O150"/>
    <mergeCell ref="B74:F74"/>
    <mergeCell ref="B76:F76"/>
    <mergeCell ref="A7:F7"/>
    <mergeCell ref="C25:F25"/>
    <mergeCell ref="A145:F145"/>
    <mergeCell ref="B38:F38"/>
    <mergeCell ref="B51:F51"/>
    <mergeCell ref="B60:F60"/>
    <mergeCell ref="C52:E52"/>
    <mergeCell ref="C55:E55"/>
    <mergeCell ref="C68:E68"/>
    <mergeCell ref="C83:E83"/>
    <mergeCell ref="A2:U2"/>
    <mergeCell ref="A3:U3"/>
    <mergeCell ref="A4:G4"/>
    <mergeCell ref="A5:F6"/>
    <mergeCell ref="G5:I6"/>
    <mergeCell ref="J5:L6"/>
    <mergeCell ref="M5:R5"/>
    <mergeCell ref="S5:T5"/>
    <mergeCell ref="U5:U6"/>
  </mergeCells>
  <phoneticPr fontId="2"/>
  <printOptions horizontalCentered="1"/>
  <pageMargins left="0.47244094488188981" right="0.47244094488188981" top="0.74803149606299213" bottom="0.74803149606299213" header="0.31496062992125984" footer="0.31496062992125984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①詳細版（公1）</vt:lpstr>
      <vt:lpstr>②詳細版（公2）(公3）</vt:lpstr>
      <vt:lpstr>③共益事業（集計表）</vt:lpstr>
      <vt:lpstr>④法人会計（集計表）</vt:lpstr>
      <vt:lpstr>⑤R06事業管理費</vt:lpstr>
      <vt:lpstr>⑥R06事業管理費(公益)</vt:lpstr>
      <vt:lpstr>⑦R06事業管理費(公益) (2)</vt:lpstr>
      <vt:lpstr>⑧R06会費と助成金 </vt:lpstr>
      <vt:lpstr>⑪R07正味 (詳細)</vt:lpstr>
      <vt:lpstr>⑩R06正味 (詳細) </vt:lpstr>
      <vt:lpstr>⑨R06正味公収法予算書</vt:lpstr>
      <vt:lpstr>R05正味公収法予算書 (2)</vt:lpstr>
      <vt:lpstr>R07正味公収法予算書)</vt:lpstr>
      <vt:lpstr>⑤R06事業管理費!Print_Area</vt:lpstr>
      <vt:lpstr>'⑥R06事業管理費(公益)'!Print_Area</vt:lpstr>
      <vt:lpstr>'⑦R06事業管理費(公益) (2)'!Print_Area</vt:lpstr>
      <vt:lpstr>'⑧R06会費と助成金 '!Print_Area</vt:lpstr>
      <vt:lpstr>⑨R06正味公収法予算書!Print_Area</vt:lpstr>
      <vt:lpstr>'⑩R06正味 (詳細) '!Print_Area</vt:lpstr>
      <vt:lpstr>'⑪R07正味 (詳細)'!Print_Area</vt:lpstr>
      <vt:lpstr>'R05正味公収法予算書 (2)'!Print_Area</vt:lpstr>
      <vt:lpstr>'R07正味公収法予算書)'!Print_Area</vt:lpstr>
      <vt:lpstr>⑨R06正味公収法予算書!Print_Titles</vt:lpstr>
      <vt:lpstr>'⑩R06正味 (詳細) '!Print_Titles</vt:lpstr>
      <vt:lpstr>'⑪R07正味 (詳細)'!Print_Titles</vt:lpstr>
      <vt:lpstr>'R05正味公収法予算書 (2)'!Print_Titles</vt:lpstr>
      <vt:lpstr>'R07正味公収法予算書)'!Print_Titles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 n</dc:creator>
  <cp:lastModifiedBy>houjinkai</cp:lastModifiedBy>
  <cp:lastPrinted>2025-03-26T08:31:28Z</cp:lastPrinted>
  <dcterms:created xsi:type="dcterms:W3CDTF">2015-10-16T07:11:39Z</dcterms:created>
  <dcterms:modified xsi:type="dcterms:W3CDTF">2025-03-26T23:41:09Z</dcterms:modified>
</cp:coreProperties>
</file>